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6200" windowHeight="25095" tabRatio="500" firstSheet="7" activeTab="10"/>
  </bookViews>
  <sheets>
    <sheet name="Orientações" sheetId="1" state="hidden" r:id="rId1"/>
    <sheet name="Servente" sheetId="2" state="hidden" r:id="rId2"/>
    <sheet name="Recepcionista Secretário(a)" sheetId="11" r:id="rId3"/>
    <sheet name="Téc. Saúde Bucal" sheetId="16" r:id="rId4"/>
    <sheet name="Copeiro (a)" sheetId="5" r:id="rId5"/>
    <sheet name="Portaria" sheetId="6" r:id="rId6"/>
    <sheet name="Motorista Interestadual" sheetId="8" r:id="rId7"/>
    <sheet name="Diárias" sheetId="15" r:id="rId8"/>
    <sheet name="Uniformes" sheetId="12" r:id="rId9"/>
    <sheet name="Materiais" sheetId="14" r:id="rId10"/>
    <sheet name="RESUMO" sheetId="13" r:id="rId11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'Recepcionista Secretário(a)'!$A$1:$D$148</definedName>
    <definedName name="_xlnm.Print_Area" localSheetId="3">'Téc. Saúde Bucal'!$A$1:$D$149</definedName>
    <definedName name="_xlnm.Print_Area" localSheetId="4">'Copeiro (a)'!$A$1:$D$148</definedName>
    <definedName name="_xlnm.Print_Area" localSheetId="5">Portaria!$A$1:$D$149</definedName>
    <definedName name="_xlnm.Print_Area" localSheetId="6">'Motorista Interestadual'!$A$1:$D$149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<sst xmlns="http://schemas.openxmlformats.org/spreadsheetml/2006/main" count="1845" uniqueCount="343">
  <si>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</si>
  <si>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</si>
  <si>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</si>
  <si>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</si>
  <si>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</si>
  <si>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</si>
  <si>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</si>
  <si>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</si>
  <si>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</si>
  <si>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</si>
  <si>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</si>
  <si>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</si>
  <si>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</si>
  <si>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</si>
  <si>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</si>
  <si>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</si>
  <si>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</si>
  <si>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</si>
  <si>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</si>
  <si>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</si>
  <si>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</si>
  <si>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</si>
  <si>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</si>
  <si>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</si>
  <si>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</si>
  <si>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</si>
  <si>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</si>
  <si>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</si>
  <si>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</si>
  <si>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</si>
  <si>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</si>
  <si>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</si>
  <si>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</si>
  <si>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</si>
  <si>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</si>
  <si>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</si>
  <si>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</si>
  <si>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</si>
  <si>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</si>
  <si>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</si>
  <si>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</si>
  <si>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</si>
  <si>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</si>
  <si>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</si>
  <si>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</si>
  <si>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</si>
  <si>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</si>
  <si>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</si>
  <si>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</si>
  <si>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</si>
  <si>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</si>
  <si>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</si>
  <si>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</si>
  <si>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</si>
  <si>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</si>
  <si>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</si>
  <si>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</si>
  <si>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</si>
  <si>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</si>
  <si>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</si>
  <si>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</si>
  <si>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</si>
  <si>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</si>
  <si>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</si>
  <si>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</si>
  <si>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</si>
  <si>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</si>
  <si>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</si>
  <si>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</si>
  <si>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</si>
  <si>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</si>
  <si>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</si>
  <si>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</si>
  <si>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</si>
  <si>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</si>
  <si>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</si>
  <si>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</si>
  <si>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</si>
  <si>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</si>
  <si>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</si>
  <si>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</si>
  <si>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</si>
  <si>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</si>
  <si>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</si>
  <si>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</si>
  <si>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</si>
  <si>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</si>
  <si>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</si>
  <si>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</si>
  <si>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</si>
  <si>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</si>
  <si>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</si>
  <si>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</si>
  <si>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</si>
  <si>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</si>
  <si>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</si>
  <si>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</si>
  <si>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</si>
  <si>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</si>
  <si>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</si>
  <si>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</si>
  <si>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</si>
  <si>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</si>
  <si>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</si>
  <si>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</si>
  <si>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</si>
  <si>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</si>
  <si>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</si>
  <si>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</si>
  <si>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</si>
  <si>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</si>
  <si>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</si>
  <si>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</si>
  <si>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</si>
  <si>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</si>
  <si>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</si>
  <si>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</si>
  <si>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</si>
  <si>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</si>
  <si>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</si>
  <si>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</si>
  <si>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</si>
  <si>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</si>
  <si>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</si>
  <si>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</si>
  <si>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</si>
  <si>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</si>
  <si>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</si>
  <si>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</si>
  <si>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</si>
  <si>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</si>
  <si>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</si>
  <si>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</si>
  <si>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</si>
  <si>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</si>
  <si>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</si>
  <si>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</si>
  <si>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</si>
  <si>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</si>
  <si>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</si>
  <si>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</si>
  <si>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</si>
  <si>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</si>
  <si>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</si>
  <si>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</si>
  <si>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</si>
  <si>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</si>
  <si>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</si>
  <si>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</si>
  <si>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</si>
  <si>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</si>
  <si>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</si>
  <si>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</si>
  <si>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</si>
  <si>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</si>
  <si>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</si>
  <si>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</si>
  <si>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</si>
  <si>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</si>
  <si>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</si>
  <si>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</si>
  <si>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</si>
  <si>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</si>
  <si>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</si>
  <si>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</si>
  <si>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</si>
  <si>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</si>
  <si>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</si>
  <si>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</si>
  <si>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</si>
  <si>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</si>
  <si>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</si>
  <si>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</si>
  <si>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</si>
  <si>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</si>
  <si>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</si>
  <si>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</si>
  <si>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</si>
  <si>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23381.003917.2022-48</t>
    </r>
  </si>
  <si>
    <t>Licitação n°</t>
  </si>
  <si>
    <t>010/2022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</si>
  <si>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</si>
  <si>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</si>
  <si>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</si>
  <si>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</si>
  <si>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</si>
  <si>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</si>
  <si>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PB000517/2021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</si>
  <si>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</si>
  <si>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</si>
  <si>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</si>
  <si>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</si>
  <si>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</si>
  <si>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</si>
  <si>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Recepcionista Secretário(a)</t>
  </si>
  <si>
    <t>44 horas</t>
  </si>
  <si>
    <t>MTE</t>
  </si>
  <si>
    <t>4110-10</t>
  </si>
  <si>
    <t>SEAC-PB</t>
  </si>
  <si>
    <t>01/JANEIRO</t>
  </si>
  <si>
    <t>GRUPO IV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</si>
  <si>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</si>
  <si>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</si>
  <si>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</si>
  <si>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</si>
  <si>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</si>
  <si>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</si>
  <si>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</si>
  <si>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</si>
  <si>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</si>
  <si>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</si>
  <si>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</si>
  <si>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</si>
  <si>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</si>
  <si>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</si>
  <si>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</si>
  <si>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</si>
  <si>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</si>
  <si>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</si>
  <si>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</si>
  <si>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</si>
  <si>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</si>
  <si>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</si>
  <si>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</si>
  <si>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</si>
  <si>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</si>
  <si>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</si>
  <si>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</si>
  <si>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</si>
  <si>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</si>
  <si>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</si>
  <si>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</si>
  <si>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</si>
  <si>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</si>
  <si>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Técnico em Saúde Bucal</t>
  </si>
  <si>
    <t>3224-05</t>
  </si>
  <si>
    <t>GRUPO XII</t>
  </si>
  <si>
    <t>Adicional de Insalubridade*</t>
  </si>
  <si>
    <t>Outros (Função Gratificada)</t>
  </si>
  <si>
    <t>*Atentar às disposições estabelecidas no subitem 10.1.5 do Termo de Referência</t>
  </si>
  <si>
    <t>Copeiro(a)</t>
  </si>
  <si>
    <t>5134-25</t>
  </si>
  <si>
    <t>GRUPO I</t>
  </si>
  <si>
    <t>Agente de Portaria</t>
  </si>
  <si>
    <t>Posto 12 x 36 horas</t>
  </si>
  <si>
    <t>5174-15</t>
  </si>
  <si>
    <t>GRUPO III</t>
  </si>
  <si>
    <t>VALOR TOTAL DO POSTO</t>
  </si>
  <si>
    <t>CCT PB000035/2019*</t>
  </si>
  <si>
    <t>Motorista Interestadual</t>
  </si>
  <si>
    <t>7823-05</t>
  </si>
  <si>
    <t>SMTTRPC-PB</t>
  </si>
  <si>
    <t>* A presente CCT PB000035/2019 não encontra-se vigente, mas corresponde à CCT a qual o atual contrato, junto à Administração, encontra-se vinculado.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</si>
  <si>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</si>
  <si>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</si>
  <si>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</si>
  <si>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</si>
  <si>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</si>
  <si>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</si>
  <si>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</si>
  <si>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</si>
  <si>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</si>
  <si>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</si>
  <si>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</si>
  <si>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</si>
  <si>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</si>
  <si>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</si>
  <si>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</si>
  <si>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</si>
  <si>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</si>
  <si>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</si>
  <si>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</si>
  <si>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
calculados por dentro utilizando o coeficiente (1 - 8,65% = 91,35% ou 0,9135).</t>
  </si>
  <si>
    <t>**((Vr. faturamento) / (0,9135)) x Percentual da alíquota do tributo.</t>
  </si>
  <si>
    <t>UNIFORMES</t>
  </si>
  <si>
    <t>MOTORISTA INTERESTADUAL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</si>
  <si>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</si>
  <si>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</si>
  <si>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</si>
  <si>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</si>
  <si>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</si>
  <si>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</si>
  <si>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</si>
  <si>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</si>
  <si>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</si>
  <si>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social, na cor preta, em tecido de poliviscose; Corte: Masculino.</t>
  </si>
  <si>
    <t>Unidade</t>
  </si>
  <si>
    <t>CAMISA</t>
  </si>
  <si>
    <t>Camisa social, na cor branca, de mangas  longas, com detalhes na gola e punho, na cor predominante da logomarca da Contrada, Corte: Masculino; Tecido com o mínimo de 50% de fibras naturais, contendo a identificação da Contratada.</t>
  </si>
  <si>
    <t>Camisa tipo Polo em Tecido Piquet; Corte: Masculino,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</si>
  <si>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JAPONA / JAQUETA</t>
  </si>
  <si>
    <t>Japona / Jaqueta,em tecido Oxford, na cor preta ou usual da empresa,  forrada e impermeável; deve possuir a logomarca da empresa em tamanho e local visíveis (no peito, à esquerda).</t>
  </si>
  <si>
    <t>MANGUITO PROTEÇÃO UV</t>
  </si>
  <si>
    <t>Manguito Proteção UV 50: Dimensões Aproximadas: P: 9x27,7 cm (L x C), G: 9,5x41 cm (L x P), Composição: 94% Poliamida e 6% Elastano; Proteção UV, Antimicrobial, Seamless Dry, Proteção Solar: Com FPS; na cor preta.</t>
  </si>
  <si>
    <t>Par</t>
  </si>
  <si>
    <t>CALÇADO</t>
  </si>
  <si>
    <t>Sapato em couro, na cor preta, solado antiderrapante.</t>
  </si>
  <si>
    <t>CINTO</t>
  </si>
  <si>
    <t>Cinto em couro, na cor preta.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</si>
  <si>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</si>
  <si>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</si>
  <si>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</si>
  <si>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</si>
  <si>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AUXILIAR ADMINISTRATIVO</t>
  </si>
  <si>
    <t>Calça social, na cor preta, em tecido de poliviscose; Corte: Feminino.</t>
  </si>
  <si>
    <t>SAIA</t>
  </si>
  <si>
    <t>Saia Social, na cor preta, em tecido de poliviscose.</t>
  </si>
  <si>
    <t>BLAZER</t>
  </si>
  <si>
    <t>Colete Blazer social sem mangas, abotoamento frontal contendo a identificação da Contratada.</t>
  </si>
  <si>
    <t>Camisa social, na cor branca, de mangas  3/4, com detalhes na gola e punho, na cor predominante da logomarca da Contrada, Corte: Feminino; Tecido com o mínimo de 50% de fibras naturais, contendo a identificação da Contratada.</t>
  </si>
  <si>
    <t>Camisa tipo Polo em Tecido Piquet; Corte: Feminino,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</si>
  <si>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Meia, modelo sapatilha (invisível), com corte baixo de silicone nas costas (calcanhar), Composição:  90% microfibra poliamida 10% elastano, Feminino, Cor: Preta, Tamanho: Único</t>
  </si>
  <si>
    <t>COPEIRO (A)</t>
  </si>
  <si>
    <t>PORTEIRO</t>
  </si>
  <si>
    <t>CAPA PARA CHUVA</t>
  </si>
  <si>
    <t>Capa para chuva, em material plástico, cor preta com faixas fluorescentes.</t>
  </si>
  <si>
    <t>TÉCNICO EM SAÚDE BUCAL</t>
  </si>
  <si>
    <t>JALECO MANGA LONGA</t>
  </si>
  <si>
    <t>Jaleco Manga Longa, Composição 100% algodão, Brim Médio com 2×1, gramatura mínima de 220 g/m², 6,5 ox, na cor branca. Gola tipo italiana, abertura frontal total com fechamento em botões, mangas longas, 1 (um) bolso chapado com cantos chanfrados localizados na frente superior esquerda e 2 (dois) bolsos chapados com cantos chanfrados localizados na parte inferior de quem veste, punhos com elásticos, e costas em tecido único com faixa na cintura e abertura centralizada diagonal na bainha inferior. Aplicação da marca frontal – logo da Contratada.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</si>
  <si>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</si>
  <si>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</si>
  <si>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</si>
  <si>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</si>
  <si>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</si>
  <si>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</si>
  <si>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</si>
  <si>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</si>
  <si>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</si>
  <si>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</si>
  <si>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</si>
  <si>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</si>
  <si>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</si>
  <si>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</si>
  <si>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</si>
  <si>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</si>
  <si>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RECEPCIONISTA SECRETÁRIO(A) - CBO: 4221-05,</t>
    </r>
    <r>
      <rPr>
        <sz val="11"/>
        <color theme="1"/>
        <rFont val="Calibri"/>
        <charset val="134"/>
        <scheme val="minor"/>
      </rPr>
      <t xml:space="preserve"> 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</si>
  <si>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</si>
  <si>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TÉCNICO EM SAÚDE BUCAL - CBO: 3224-05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</si>
  <si>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>PRESTAÇÃO DE SERVIÇOS DE APOIO ADMINISTRATIVO - Posto de serviços:</t>
    </r>
    <r>
      <rPr>
        <b/>
        <sz val="11"/>
        <color theme="1"/>
        <rFont val="Calibri"/>
        <charset val="134"/>
        <scheme val="minor"/>
      </rPr>
      <t xml:space="preserve"> COPEIRO (A) - CBO: 5134-25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</si>
  <si>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</si>
  <si>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MOTORISTA INTERISTADUAL - CBO: 7823 – 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</si>
  <si>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PAGAMENTO DE DIÁRIAS NACONAIS</t>
  </si>
  <si>
    <t>Diária</t>
  </si>
</sst>
</file>

<file path=xl/styles.xml><?xml version="1.0" encoding="utf-8"?>
<styleSheet xmlns="http://schemas.openxmlformats.org/spreadsheetml/2006/main">
  <numFmts count="13">
    <numFmt numFmtId="176" formatCode="_-&quot;R$ &quot;* #,##0.00_-;&quot;-R$ &quot;* #,##0.00_-;_-&quot;R$ &quot;* \-??_-;_-@_-"/>
    <numFmt numFmtId="177" formatCode="_-&quot;R$&quot;* #,##0.00_-;\-&quot;R$&quot;* #,##0.00_-;_-&quot;R$&quot;* &quot;-&quot;??_-;_-@_-"/>
    <numFmt numFmtId="178" formatCode="_-* #,##0_-;\-* #,##0_-;_-* &quot;-&quot;_-;_-@_-"/>
    <numFmt numFmtId="179" formatCode="&quot;R$ &quot;#,##0.00"/>
    <numFmt numFmtId="180" formatCode="_-&quot;R$&quot;* #,##0_-;\-&quot;R$&quot;* #,##0_-;_-&quot;R$&quot;* &quot;-&quot;_-;_-@_-"/>
    <numFmt numFmtId="181" formatCode="0.00_ "/>
    <numFmt numFmtId="182" formatCode="&quot;R$&quot;\ #,##0.00_);[Red]\(&quot;R$&quot;\ #,##0.00\)"/>
    <numFmt numFmtId="183" formatCode="_-* #,##0.00_-;\-* #,##0.00_-;_-* &quot;-&quot;??_-;_-@_-"/>
    <numFmt numFmtId="184" formatCode="&quot;R$&quot;\ #,##0.00"/>
    <numFmt numFmtId="185" formatCode="&quot;R$&quot;#,##0.00_);[Red]\(&quot;R$&quot;#,##0.00\)"/>
    <numFmt numFmtId="186" formatCode="&quot;R$&quot;#,##0.00_);[Red]&quot;(R$&quot;#,##0.00\)"/>
    <numFmt numFmtId="187" formatCode="0.0000_ "/>
    <numFmt numFmtId="188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0"/>
      <name val="Arial"/>
      <charset val="134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51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80" fontId="31" fillId="0" borderId="0" applyBorder="0" applyAlignment="0" applyProtection="0"/>
    <xf numFmtId="178" fontId="31" fillId="0" borderId="0" applyBorder="0" applyAlignment="0" applyProtection="0"/>
    <xf numFmtId="0" fontId="25" fillId="26" borderId="0" applyNumberFormat="0" applyBorder="0" applyAlignment="0" applyProtection="0">
      <alignment vertical="center"/>
    </xf>
    <xf numFmtId="9" fontId="0" fillId="0" borderId="0" applyBorder="0" applyProtection="0"/>
    <xf numFmtId="0" fontId="29" fillId="0" borderId="34" applyNumberFormat="0" applyFill="0" applyAlignment="0" applyProtection="0">
      <alignment vertical="center"/>
    </xf>
    <xf numFmtId="0" fontId="27" fillId="24" borderId="32" applyNumberFormat="0" applyAlignment="0" applyProtection="0">
      <alignment vertical="center"/>
    </xf>
    <xf numFmtId="183" fontId="31" fillId="0" borderId="0" applyBorder="0" applyAlignment="0" applyProtection="0"/>
    <xf numFmtId="0" fontId="25" fillId="30" borderId="0" applyNumberFormat="0" applyBorder="0" applyAlignment="0" applyProtection="0">
      <alignment vertical="center"/>
    </xf>
    <xf numFmtId="176" fontId="0" fillId="0" borderId="0" applyBorder="0" applyProtection="0"/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6" fillId="33" borderId="36" applyNumberFormat="0" applyFont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40" fillId="0" borderId="37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33" fillId="0" borderId="38" applyNumberFormat="0" applyFill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32" borderId="35" applyNumberFormat="0" applyAlignment="0" applyProtection="0">
      <alignment vertical="center"/>
    </xf>
    <xf numFmtId="0" fontId="43" fillId="44" borderId="39" applyNumberFormat="0" applyAlignment="0" applyProtection="0">
      <alignment vertical="center"/>
    </xf>
    <xf numFmtId="0" fontId="45" fillId="44" borderId="35" applyNumberFormat="0" applyAlignment="0" applyProtection="0">
      <alignment vertical="center"/>
    </xf>
    <xf numFmtId="0" fontId="28" fillId="0" borderId="33" applyNumberFormat="0" applyFill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44" fillId="45" borderId="0" applyNumberFormat="0" applyBorder="0" applyAlignment="0" applyProtection="0">
      <alignment vertical="center"/>
    </xf>
    <xf numFmtId="0" fontId="42" fillId="4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4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6" fillId="46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</cellStyleXfs>
  <cellXfs count="214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wrapText="1"/>
    </xf>
    <xf numFmtId="179" fontId="2" fillId="0" borderId="0" xfId="0" applyNumberFormat="1" applyFont="1" applyFill="1" applyAlignment="1">
      <alignment horizontal="center" vertical="center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justify" vertical="center" wrapText="1"/>
    </xf>
    <xf numFmtId="0" fontId="2" fillId="0" borderId="0" xfId="0" applyFont="1" applyFill="1" applyAlignment="1"/>
    <xf numFmtId="182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184" fontId="3" fillId="3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84" fontId="3" fillId="0" borderId="0" xfId="0" applyNumberFormat="1" applyFont="1" applyFill="1" applyAlignment="1">
      <alignment horizontal="center" vertical="center" wrapText="1"/>
    </xf>
    <xf numFmtId="184" fontId="3" fillId="4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84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85" fontId="8" fillId="8" borderId="0" xfId="0" applyNumberFormat="1" applyFont="1" applyFill="1" applyAlignment="1">
      <alignment horizontal="center" vertical="center" wrapText="1"/>
    </xf>
    <xf numFmtId="185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9" borderId="0" xfId="0" applyFont="1" applyFill="1" applyAlignment="1">
      <alignment horizontal="center"/>
    </xf>
    <xf numFmtId="185" fontId="11" fillId="9" borderId="0" xfId="0" applyNumberFormat="1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13" fillId="5" borderId="4" xfId="19" applyFont="1" applyFill="1" applyBorder="1" applyAlignment="1">
      <alignment horizontal="center"/>
    </xf>
    <xf numFmtId="0" fontId="13" fillId="5" borderId="5" xfId="19" applyFont="1" applyFill="1" applyBorder="1" applyAlignment="1">
      <alignment horizontal="center"/>
    </xf>
    <xf numFmtId="0" fontId="13" fillId="5" borderId="6" xfId="19" applyFont="1" applyFill="1" applyBorder="1" applyAlignment="1">
      <alignment horizontal="center"/>
    </xf>
    <xf numFmtId="0" fontId="13" fillId="7" borderId="7" xfId="19" applyFont="1" applyFill="1" applyBorder="1" applyAlignment="1">
      <alignment horizontal="center" vertical="center" wrapText="1"/>
    </xf>
    <xf numFmtId="0" fontId="13" fillId="7" borderId="8" xfId="19" applyFont="1" applyFill="1" applyBorder="1" applyAlignment="1">
      <alignment horizontal="center" vertical="center" wrapText="1"/>
    </xf>
    <xf numFmtId="0" fontId="13" fillId="7" borderId="9" xfId="19" applyFont="1" applyFill="1" applyBorder="1" applyAlignment="1">
      <alignment horizontal="center" vertical="center" wrapText="1"/>
    </xf>
    <xf numFmtId="0" fontId="13" fillId="7" borderId="10" xfId="19" applyFont="1" applyFill="1" applyBorder="1" applyAlignment="1">
      <alignment horizontal="center" vertical="center" wrapText="1"/>
    </xf>
    <xf numFmtId="0" fontId="13" fillId="6" borderId="7" xfId="19" applyFont="1" applyFill="1" applyBorder="1" applyAlignment="1">
      <alignment horizontal="center" vertical="center" wrapText="1"/>
    </xf>
    <xf numFmtId="0" fontId="13" fillId="6" borderId="8" xfId="19" applyFont="1" applyFill="1" applyBorder="1" applyAlignment="1">
      <alignment horizontal="center" vertical="center" wrapText="1"/>
    </xf>
    <xf numFmtId="0" fontId="13" fillId="6" borderId="9" xfId="19" applyFont="1" applyFill="1" applyBorder="1" applyAlignment="1">
      <alignment horizontal="center" vertical="center"/>
    </xf>
    <xf numFmtId="0" fontId="13" fillId="6" borderId="10" xfId="19" applyFont="1" applyFill="1" applyBorder="1" applyAlignment="1">
      <alignment horizontal="center" vertical="center"/>
    </xf>
    <xf numFmtId="0" fontId="13" fillId="8" borderId="7" xfId="19" applyFont="1" applyFill="1" applyBorder="1" applyAlignment="1">
      <alignment horizontal="center" vertical="center"/>
    </xf>
    <xf numFmtId="177" fontId="13" fillId="8" borderId="8" xfId="9" applyNumberFormat="1" applyFont="1" applyFill="1" applyBorder="1" applyAlignment="1">
      <alignment horizontal="center" vertical="center"/>
    </xf>
    <xf numFmtId="177" fontId="13" fillId="8" borderId="9" xfId="9" applyNumberFormat="1" applyFont="1" applyFill="1" applyBorder="1" applyAlignment="1">
      <alignment horizontal="center" vertical="center"/>
    </xf>
    <xf numFmtId="177" fontId="13" fillId="8" borderId="10" xfId="9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 applyProtection="1"/>
    <xf numFmtId="0" fontId="4" fillId="0" borderId="11" xfId="0" applyFont="1" applyFill="1" applyBorder="1" applyAlignment="1"/>
    <xf numFmtId="0" fontId="4" fillId="0" borderId="0" xfId="0" applyFont="1" applyFill="1" applyBorder="1" applyAlignment="1"/>
    <xf numFmtId="0" fontId="4" fillId="0" borderId="12" xfId="0" applyFont="1" applyFill="1" applyBorder="1" applyAlignment="1"/>
    <xf numFmtId="177" fontId="13" fillId="0" borderId="13" xfId="19" applyNumberFormat="1" applyFont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left" vertical="top"/>
    </xf>
    <xf numFmtId="0" fontId="4" fillId="6" borderId="0" xfId="0" applyFont="1" applyFill="1" applyBorder="1" applyAlignment="1">
      <alignment horizontal="left" vertical="top"/>
    </xf>
    <xf numFmtId="10" fontId="4" fillId="8" borderId="0" xfId="4" applyNumberFormat="1" applyFont="1" applyFill="1" applyBorder="1" applyAlignment="1">
      <alignment horizontal="center" vertical="center"/>
    </xf>
    <xf numFmtId="177" fontId="4" fillId="8" borderId="12" xfId="9" applyNumberFormat="1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left" vertical="top"/>
    </xf>
    <xf numFmtId="0" fontId="4" fillId="10" borderId="0" xfId="0" applyFont="1" applyFill="1" applyBorder="1" applyAlignment="1">
      <alignment horizontal="left" vertical="top"/>
    </xf>
    <xf numFmtId="0" fontId="13" fillId="7" borderId="16" xfId="19" applyFont="1" applyFill="1" applyBorder="1" applyAlignment="1">
      <alignment horizontal="center" vertical="center" wrapText="1"/>
    </xf>
    <xf numFmtId="177" fontId="13" fillId="8" borderId="17" xfId="19" applyNumberFormat="1" applyFont="1" applyFill="1" applyBorder="1" applyAlignment="1">
      <alignment horizontal="center" vertical="center" wrapText="1"/>
    </xf>
    <xf numFmtId="0" fontId="13" fillId="6" borderId="16" xfId="19" applyFont="1" applyFill="1" applyBorder="1" applyAlignment="1">
      <alignment horizontal="center" vertical="center" wrapText="1"/>
    </xf>
    <xf numFmtId="0" fontId="13" fillId="6" borderId="9" xfId="19" applyFont="1" applyFill="1" applyBorder="1" applyAlignment="1">
      <alignment horizontal="center" vertical="center" wrapText="1"/>
    </xf>
    <xf numFmtId="0" fontId="13" fillId="6" borderId="10" xfId="19" applyFont="1" applyFill="1" applyBorder="1" applyAlignment="1">
      <alignment horizontal="center" vertical="center" wrapText="1"/>
    </xf>
    <xf numFmtId="0" fontId="13" fillId="10" borderId="14" xfId="0" applyFont="1" applyFill="1" applyBorder="1" applyAlignment="1">
      <alignment horizontal="center" vertical="center"/>
    </xf>
    <xf numFmtId="0" fontId="13" fillId="10" borderId="15" xfId="0" applyFont="1" applyFill="1" applyBorder="1" applyAlignment="1">
      <alignment horizontal="center" vertical="center"/>
    </xf>
    <xf numFmtId="0" fontId="13" fillId="10" borderId="0" xfId="0" applyFont="1" applyFill="1" applyBorder="1" applyAlignment="1">
      <alignment horizontal="center" vertical="center"/>
    </xf>
    <xf numFmtId="0" fontId="13" fillId="10" borderId="12" xfId="0" applyFont="1" applyFill="1" applyBorder="1" applyAlignment="1">
      <alignment horizontal="center" vertical="center"/>
    </xf>
    <xf numFmtId="177" fontId="4" fillId="8" borderId="12" xfId="9" applyNumberFormat="1" applyFont="1" applyFill="1" applyBorder="1"/>
    <xf numFmtId="0" fontId="13" fillId="10" borderId="11" xfId="0" applyFont="1" applyFill="1" applyBorder="1" applyAlignment="1">
      <alignment horizontal="center"/>
    </xf>
    <xf numFmtId="0" fontId="13" fillId="10" borderId="0" xfId="0" applyFont="1" applyFill="1" applyBorder="1" applyAlignment="1">
      <alignment horizontal="center"/>
    </xf>
    <xf numFmtId="10" fontId="13" fillId="8" borderId="0" xfId="0" applyNumberFormat="1" applyFont="1" applyFill="1" applyBorder="1" applyAlignment="1">
      <alignment horizontal="center" vertical="center"/>
    </xf>
    <xf numFmtId="177" fontId="13" fillId="8" borderId="12" xfId="0" applyNumberFormat="1" applyFont="1" applyFill="1" applyBorder="1" applyAlignment="1">
      <alignment horizontal="center" vertical="center"/>
    </xf>
    <xf numFmtId="0" fontId="13" fillId="5" borderId="16" xfId="19" applyFont="1" applyFill="1" applyBorder="1" applyAlignment="1">
      <alignment horizontal="center" vertical="center" wrapText="1"/>
    </xf>
    <xf numFmtId="0" fontId="13" fillId="5" borderId="9" xfId="19" applyFont="1" applyFill="1" applyBorder="1" applyAlignment="1">
      <alignment horizontal="center" vertical="center" wrapText="1"/>
    </xf>
    <xf numFmtId="0" fontId="13" fillId="5" borderId="10" xfId="19" applyFont="1" applyFill="1" applyBorder="1" applyAlignment="1">
      <alignment horizontal="center" vertical="center" wrapText="1"/>
    </xf>
    <xf numFmtId="177" fontId="13" fillId="5" borderId="17" xfId="19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15" fillId="11" borderId="18" xfId="0" applyNumberFormat="1" applyFont="1" applyFill="1" applyBorder="1" applyAlignment="1" applyProtection="1">
      <alignment horizontal="center" vertical="center"/>
    </xf>
    <xf numFmtId="0" fontId="15" fillId="11" borderId="19" xfId="0" applyNumberFormat="1" applyFont="1" applyFill="1" applyBorder="1" applyAlignment="1" applyProtection="1">
      <alignment horizontal="center" vertical="center"/>
    </xf>
    <xf numFmtId="0" fontId="16" fillId="12" borderId="20" xfId="0" applyNumberFormat="1" applyFont="1" applyFill="1" applyBorder="1" applyAlignment="1" applyProtection="1">
      <alignment horizontal="left" vertical="center"/>
    </xf>
    <xf numFmtId="10" fontId="16" fillId="13" borderId="0" xfId="0" applyNumberFormat="1" applyFont="1" applyFill="1" applyBorder="1" applyAlignment="1" applyProtection="1">
      <alignment horizontal="center" vertical="center"/>
    </xf>
    <xf numFmtId="0" fontId="16" fillId="14" borderId="21" xfId="0" applyNumberFormat="1" applyFont="1" applyFill="1" applyBorder="1" applyAlignment="1" applyProtection="1">
      <alignment horizontal="left" vertical="center"/>
    </xf>
    <xf numFmtId="186" fontId="16" fillId="13" borderId="0" xfId="0" applyNumberFormat="1" applyFont="1" applyFill="1" applyBorder="1" applyAlignment="1" applyProtection="1">
      <alignment horizontal="center"/>
    </xf>
    <xf numFmtId="187" fontId="16" fillId="13" borderId="0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/>
    <xf numFmtId="0" fontId="18" fillId="15" borderId="22" xfId="0" applyFont="1" applyFill="1" applyBorder="1" applyAlignment="1">
      <alignment horizontal="center"/>
    </xf>
    <xf numFmtId="0" fontId="7" fillId="16" borderId="23" xfId="0" applyFont="1" applyFill="1" applyBorder="1" applyAlignment="1">
      <alignment horizontal="left" wrapText="1"/>
    </xf>
    <xf numFmtId="0" fontId="7" fillId="17" borderId="0" xfId="0" applyFont="1" applyFill="1" applyBorder="1" applyAlignment="1">
      <alignment horizontal="left" wrapText="1"/>
    </xf>
    <xf numFmtId="49" fontId="0" fillId="17" borderId="0" xfId="0" applyNumberFormat="1" applyFont="1" applyFill="1" applyBorder="1" applyAlignment="1">
      <alignment horizontal="left"/>
    </xf>
    <xf numFmtId="0" fontId="0" fillId="17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5" borderId="24" xfId="0" applyFont="1" applyFill="1" applyBorder="1" applyAlignment="1">
      <alignment horizontal="center"/>
    </xf>
    <xf numFmtId="0" fontId="0" fillId="16" borderId="25" xfId="0" applyFont="1" applyFill="1" applyBorder="1" applyAlignment="1">
      <alignment horizontal="center"/>
    </xf>
    <xf numFmtId="0" fontId="0" fillId="16" borderId="20" xfId="0" applyFont="1" applyFill="1" applyBorder="1"/>
    <xf numFmtId="0" fontId="0" fillId="18" borderId="20" xfId="0" applyFont="1" applyFill="1" applyBorder="1" applyAlignment="1">
      <alignment horizontal="center"/>
    </xf>
    <xf numFmtId="0" fontId="0" fillId="19" borderId="26" xfId="0" applyFont="1" applyFill="1" applyBorder="1" applyAlignment="1">
      <alignment horizontal="center"/>
    </xf>
    <xf numFmtId="0" fontId="0" fillId="19" borderId="27" xfId="0" applyFont="1" applyFill="1" applyBorder="1"/>
    <xf numFmtId="0" fontId="0" fillId="18" borderId="27" xfId="0" applyFont="1" applyFill="1" applyBorder="1" applyAlignment="1">
      <alignment horizontal="center"/>
    </xf>
    <xf numFmtId="0" fontId="0" fillId="16" borderId="26" xfId="0" applyFont="1" applyFill="1" applyBorder="1" applyAlignment="1">
      <alignment horizontal="center"/>
    </xf>
    <xf numFmtId="0" fontId="0" fillId="16" borderId="27" xfId="0" applyFont="1" applyFill="1" applyBorder="1"/>
    <xf numFmtId="0" fontId="19" fillId="15" borderId="22" xfId="0" applyFont="1" applyFill="1" applyBorder="1" applyAlignment="1">
      <alignment horizontal="center"/>
    </xf>
    <xf numFmtId="0" fontId="19" fillId="15" borderId="28" xfId="0" applyFont="1" applyFill="1" applyBorder="1" applyAlignment="1">
      <alignment horizontal="center" wrapText="1"/>
    </xf>
    <xf numFmtId="0" fontId="19" fillId="15" borderId="18" xfId="0" applyFont="1" applyFill="1" applyBorder="1" applyAlignment="1">
      <alignment horizontal="center"/>
    </xf>
    <xf numFmtId="0" fontId="0" fillId="16" borderId="27" xfId="0" applyFont="1" applyFill="1" applyBorder="1" applyAlignment="1">
      <alignment horizontal="center"/>
    </xf>
    <xf numFmtId="0" fontId="0" fillId="18" borderId="29" xfId="0" applyFont="1" applyFill="1" applyBorder="1" applyAlignment="1">
      <alignment horizontal="center"/>
    </xf>
    <xf numFmtId="0" fontId="0" fillId="19" borderId="27" xfId="0" applyFont="1" applyFill="1" applyBorder="1" applyAlignment="1">
      <alignment horizontal="center"/>
    </xf>
    <xf numFmtId="179" fontId="0" fillId="18" borderId="29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18" borderId="0" xfId="0" applyFill="1" applyAlignment="1">
      <alignment horizontal="center"/>
    </xf>
    <xf numFmtId="179" fontId="0" fillId="18" borderId="0" xfId="0" applyNumberFormat="1" applyFill="1" applyAlignment="1">
      <alignment horizontal="center"/>
    </xf>
    <xf numFmtId="0" fontId="0" fillId="18" borderId="0" xfId="0" applyFont="1" applyFill="1" applyAlignment="1">
      <alignment horizontal="center"/>
    </xf>
    <xf numFmtId="49" fontId="0" fillId="18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/>
    </xf>
    <xf numFmtId="0" fontId="19" fillId="15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5" borderId="0" xfId="0" applyFont="1" applyFill="1" applyBorder="1" applyAlignment="1">
      <alignment horizontal="center" vertical="center"/>
    </xf>
    <xf numFmtId="0" fontId="7" fillId="16" borderId="20" xfId="0" applyFont="1" applyFill="1" applyBorder="1" applyAlignment="1">
      <alignment horizontal="center" vertical="center"/>
    </xf>
    <xf numFmtId="186" fontId="0" fillId="18" borderId="21" xfId="0" applyNumberFormat="1" applyFont="1" applyFill="1" applyBorder="1" applyAlignment="1">
      <alignment horizontal="center" vertical="center"/>
    </xf>
    <xf numFmtId="0" fontId="7" fillId="19" borderId="21" xfId="0" applyFont="1" applyFill="1" applyBorder="1" applyAlignment="1">
      <alignment horizontal="center" vertical="center"/>
    </xf>
    <xf numFmtId="186" fontId="7" fillId="18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8" borderId="0" xfId="4" applyNumberFormat="1" applyFont="1" applyFill="1" applyBorder="1" applyAlignment="1" applyProtection="1">
      <alignment horizontal="center"/>
    </xf>
    <xf numFmtId="179" fontId="0" fillId="18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9" fontId="0" fillId="18" borderId="0" xfId="0" applyNumberFormat="1" applyFill="1" applyAlignment="1">
      <alignment horizontal="center" vertical="center"/>
    </xf>
    <xf numFmtId="179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8" borderId="0" xfId="4" applyNumberFormat="1" applyFont="1" applyFill="1" applyBorder="1" applyAlignment="1" applyProtection="1">
      <alignment horizontal="center" vertical="center"/>
    </xf>
    <xf numFmtId="10" fontId="0" fillId="8" borderId="0" xfId="4" applyNumberFormat="1" applyFont="1" applyFill="1" applyBorder="1" applyAlignment="1" applyProtection="1">
      <alignment horizontal="center" vertical="center"/>
    </xf>
    <xf numFmtId="179" fontId="0" fillId="8" borderId="0" xfId="0" applyNumberFormat="1" applyFill="1" applyAlignment="1">
      <alignment horizontal="center"/>
    </xf>
    <xf numFmtId="0" fontId="19" fillId="15" borderId="0" xfId="0" applyFont="1" applyFill="1" applyBorder="1" applyAlignment="1">
      <alignment horizontal="center" wrapText="1"/>
    </xf>
    <xf numFmtId="181" fontId="0" fillId="18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79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79" fontId="20" fillId="0" borderId="0" xfId="0" applyNumberFormat="1" applyFont="1" applyAlignment="1">
      <alignment horizontal="center"/>
    </xf>
    <xf numFmtId="179" fontId="21" fillId="18" borderId="0" xfId="0" applyNumberFormat="1" applyFont="1" applyFill="1" applyAlignment="1">
      <alignment horizontal="center"/>
    </xf>
    <xf numFmtId="179" fontId="0" fillId="0" borderId="0" xfId="0" applyNumberFormat="1" applyAlignment="1">
      <alignment horizontal="center" vertical="center"/>
    </xf>
    <xf numFmtId="179" fontId="8" fillId="18" borderId="0" xfId="0" applyNumberFormat="1" applyFont="1" applyFill="1" applyAlignment="1">
      <alignment horizontal="center"/>
    </xf>
    <xf numFmtId="179" fontId="8" fillId="0" borderId="0" xfId="0" applyNumberFormat="1" applyFont="1" applyAlignment="1">
      <alignment horizontal="center"/>
    </xf>
    <xf numFmtId="0" fontId="19" fillId="15" borderId="18" xfId="0" applyFont="1" applyFill="1" applyBorder="1" applyAlignment="1">
      <alignment horizontal="center" vertical="center"/>
    </xf>
    <xf numFmtId="10" fontId="8" fillId="18" borderId="0" xfId="4" applyNumberFormat="1" applyFont="1" applyFill="1" applyBorder="1" applyAlignment="1" applyProtection="1">
      <alignment horizontal="center"/>
    </xf>
    <xf numFmtId="0" fontId="0" fillId="16" borderId="20" xfId="0" applyFont="1" applyFill="1" applyBorder="1" applyAlignment="1">
      <alignment horizontal="left" vertical="center"/>
    </xf>
    <xf numFmtId="0" fontId="0" fillId="19" borderId="21" xfId="0" applyFont="1" applyFill="1" applyBorder="1" applyAlignment="1">
      <alignment horizontal="left" vertical="center"/>
    </xf>
    <xf numFmtId="186" fontId="0" fillId="18" borderId="0" xfId="0" applyNumberFormat="1" applyFill="1" applyAlignment="1">
      <alignment horizontal="center" vertical="center"/>
    </xf>
    <xf numFmtId="187" fontId="0" fillId="18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5" borderId="0" xfId="0" applyFont="1" applyFill="1"/>
    <xf numFmtId="0" fontId="19" fillId="15" borderId="0" xfId="0" applyFont="1" applyFill="1" applyAlignment="1">
      <alignment horizontal="center" vertical="center"/>
    </xf>
    <xf numFmtId="179" fontId="19" fillId="15" borderId="0" xfId="0" applyNumberFormat="1" applyFont="1" applyFill="1" applyAlignment="1">
      <alignment horizontal="center"/>
    </xf>
    <xf numFmtId="0" fontId="23" fillId="0" borderId="0" xfId="0" applyFont="1"/>
    <xf numFmtId="10" fontId="0" fillId="0" borderId="0" xfId="0" applyNumberFormat="1"/>
    <xf numFmtId="182" fontId="0" fillId="0" borderId="0" xfId="0" applyNumberFormat="1" applyAlignment="1">
      <alignment horizontal="center" vertical="center"/>
    </xf>
    <xf numFmtId="186" fontId="0" fillId="18" borderId="0" xfId="0" applyNumberFormat="1" applyFill="1" applyAlignment="1">
      <alignment horizontal="center"/>
    </xf>
    <xf numFmtId="0" fontId="22" fillId="15" borderId="0" xfId="0" applyFont="1" applyFill="1" applyAlignment="1">
      <alignment wrapText="1"/>
    </xf>
    <xf numFmtId="0" fontId="19" fillId="15" borderId="0" xfId="0" applyFont="1" applyFill="1" applyAlignment="1">
      <alignment horizontal="center" vertical="center" wrapText="1"/>
    </xf>
    <xf numFmtId="179" fontId="19" fillId="15" borderId="0" xfId="0" applyNumberFormat="1" applyFont="1" applyFill="1" applyAlignment="1">
      <alignment horizontal="center" wrapText="1"/>
    </xf>
    <xf numFmtId="182" fontId="0" fillId="18" borderId="0" xfId="0" applyNumberFormat="1" applyFill="1" applyAlignment="1">
      <alignment horizontal="center" vertical="center"/>
    </xf>
    <xf numFmtId="182" fontId="0" fillId="8" borderId="0" xfId="0" applyNumberFormat="1" applyFill="1" applyAlignment="1">
      <alignment horizontal="center" vertical="center"/>
    </xf>
    <xf numFmtId="179" fontId="20" fillId="0" borderId="0" xfId="0" applyNumberFormat="1" applyFont="1" applyAlignment="1">
      <alignment vertical="center" wrapText="1"/>
    </xf>
    <xf numFmtId="179" fontId="20" fillId="0" borderId="0" xfId="0" applyNumberFormat="1" applyFont="1" applyAlignment="1">
      <alignment horizontal="center" wrapText="1"/>
    </xf>
    <xf numFmtId="186" fontId="0" fillId="18" borderId="0" xfId="0" applyNumberFormat="1" applyFill="1"/>
    <xf numFmtId="0" fontId="0" fillId="18" borderId="0" xfId="0" applyFill="1" applyAlignment="1">
      <alignment horizontal="center" wrapText="1"/>
    </xf>
    <xf numFmtId="179" fontId="12" fillId="18" borderId="0" xfId="0" applyNumberFormat="1" applyFont="1" applyFill="1" applyAlignment="1">
      <alignment horizontal="center"/>
    </xf>
    <xf numFmtId="179" fontId="0" fillId="8" borderId="0" xfId="0" applyNumberFormat="1" applyFill="1" applyAlignment="1">
      <alignment horizontal="center" vertical="center"/>
    </xf>
    <xf numFmtId="185" fontId="8" fillId="18" borderId="0" xfId="0" applyNumberFormat="1" applyFont="1" applyFill="1" applyAlignment="1">
      <alignment horizontal="center"/>
    </xf>
    <xf numFmtId="0" fontId="8" fillId="0" borderId="0" xfId="0" applyFont="1"/>
    <xf numFmtId="0" fontId="7" fillId="0" borderId="30" xfId="0" applyFont="1" applyBorder="1" applyAlignment="1">
      <alignment horizontal="center"/>
    </xf>
    <xf numFmtId="176" fontId="0" fillId="18" borderId="0" xfId="9" applyFont="1" applyFill="1" applyBorder="1" applyAlignment="1" applyProtection="1">
      <alignment horizontal="center"/>
    </xf>
    <xf numFmtId="188" fontId="0" fillId="18" borderId="0" xfId="0" applyNumberFormat="1" applyFill="1" applyAlignment="1">
      <alignment horizontal="center"/>
    </xf>
    <xf numFmtId="9" fontId="0" fillId="18" borderId="0" xfId="0" applyNumberFormat="1" applyFill="1" applyAlignment="1">
      <alignment horizontal="center"/>
    </xf>
    <xf numFmtId="0" fontId="0" fillId="0" borderId="0" xfId="0" applyFont="1" applyAlignment="1"/>
    <xf numFmtId="10" fontId="0" fillId="18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9" fontId="0" fillId="0" borderId="0" xfId="0" applyNumberFormat="1" applyFont="1" applyAlignment="1">
      <alignment horizontal="center" vertical="center" wrapText="1"/>
    </xf>
    <xf numFmtId="179" fontId="22" fillId="15" borderId="0" xfId="0" applyNumberFormat="1" applyFont="1" applyFill="1" applyAlignment="1">
      <alignment horizontal="center"/>
    </xf>
    <xf numFmtId="0" fontId="7" fillId="20" borderId="31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left" vertical="center" wrapText="1"/>
    </xf>
    <xf numFmtId="0" fontId="0" fillId="20" borderId="0" xfId="0" applyFont="1" applyFill="1" applyBorder="1" applyAlignment="1">
      <alignment horizontal="left" wrapText="1"/>
    </xf>
    <xf numFmtId="0" fontId="7" fillId="20" borderId="0" xfId="0" applyFont="1" applyFill="1" applyBorder="1" applyAlignment="1">
      <alignment horizontal="left" vertical="center" wrapText="1"/>
    </xf>
    <xf numFmtId="0" fontId="24" fillId="20" borderId="0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82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2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84"/>
    <tableColumn id="2" name="Custos Indiretos, Tributos e Lucro" dataDxfId="85"/>
    <tableColumn id="3" name="Percentual" dataDxfId="86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98"/>
    <tableColumn id="2" name="Composição da Remuneração" dataDxfId="99"/>
    <tableColumn id="3" name="Comentário" dataDxfId="10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01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03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06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09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12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14"/>
    <tableColumn id="2" name="Custo de Reposição do Profissional Ausente" dataDxfId="115"/>
    <tableColumn id="3" name="Comentário" totalsRowLabel="*Nota: Se o titular USUFRUIR do descanso intrajornada, o total é o somatório dos subitens 4.1 e 4.2" dataDxfId="11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17"/>
    <tableColumn id="2" name="Insumos Diversos" dataDxfId="118"/>
    <tableColumn id="3" name="Comentário" dataDxfId="11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67" name="Módulo562_5811668" displayName="Módulo562_5811668" ref="A113:D119" totalsRowCount="1">
  <autoFilter ref="A113:D118"/>
  <tableColumns count="4">
    <tableColumn id="1" name="5" totalsRowLabel="Total"/>
    <tableColumn id="2" name="Insumos Diversos"/>
    <tableColumn id="3" name="Comentário"/>
    <tableColumn id="4" name="Valor" totalsRowFunction="sum" dataDxfId="120"/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68" name="ResumoMódulo461_6211569" displayName="ResumoMódulo461_6211569" ref="A107:D110" totalsRowCount="1">
  <autoFilter ref="A107:D109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69" name="Table452_5610670" displayName="Table452_5610670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70" name="ResumoPosto64_6410871" displayName="ResumoPosto64_6410871" ref="A140:D148" totalsRowShown="0">
  <autoFilter ref="A140:D148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71" name="Módulo153_5210972" displayName="Módulo153_5210972" ref="A24:D31" totalsRowCount="1">
  <autoFilter ref="A24:D3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72" name="Submódulo4.260_5510773" displayName="Submódulo4.260_5510773" ref="A102:D104" totalsRowCount="1">
  <autoFilter ref="A102:D103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73" name="Submódulo2.154_6111174" displayName="Submódulo2.154_6111174" ref="A36:D39" totalsRowCount="1">
  <autoFilter ref="A36:D38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74" name="Submódulo4.159_5411075" displayName="Submódulo4.159_5411075" ref="A92:D99" totalsRowCount="1">
  <autoFilter ref="A92:D98"/>
  <tableColumns count="4">
    <tableColumn id="1" name="4.1" totalsRowLabel="Total"/>
    <tableColumn id="2" name="Substituto nas Ausências Legais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75" name="Submódulo2.356_5311276" displayName="Submódulo2.356_5311276" ref="A58:D66" totalsRowCount="1">
  <autoFilter ref="A58:D65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76" name="Módulo663_5910577" displayName="Módulo663_5910577" ref="A129:D136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90" name="Módulo358_5710491" displayName="Módulo358_5710491" ref="A76:D83" totalsRowCount="1">
  <autoFilter ref="A76:D82"/>
  <tableColumns count="4">
    <tableColumn id="1" name="3" totalsRowLabel="Total"/>
    <tableColumn id="2" name="Provisão para Rescisão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91" name="Submódulo2.255_6311492" displayName="Submódulo2.255_6311492" ref="A46:D55" totalsRowCount="1">
  <autoFilter ref="A46:D54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92" name="ResumoMódulo257_6011393" displayName="ResumoMódulo257_6011393" ref="A69:D73" totalsRowCount="1">
  <autoFilter ref="A69:D72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8" name="Módulo153_39" displayName="Módulo153_39" ref="A24:D31" totalsRowCount="1">
  <autoFilter ref="A24:D30"/>
  <tableColumns count="4">
    <tableColumn id="1" name="1" totalsRowLabel="Total" dataDxfId="121"/>
    <tableColumn id="2" name="Composição da Remuneração" dataDxfId="122"/>
    <tableColumn id="3" name="Comentário" dataDxfId="123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9" name="Submódulo2.356_40" displayName="Submódulo2.356_40" ref="A58:D66" totalsRowCount="1">
  <autoFilter ref="A58:D65"/>
  <tableColumns count="4">
    <tableColumn id="1" name="2.3" totalsRowLabel="Total" dataDxfId="124"/>
    <tableColumn id="2" name="Benefícios Mensais e Diários" dataDxfId="125"/>
    <tableColumn id="3" name="Comentário" dataDxfId="126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40" name="Submódulo4.159_41" displayName="Submódulo4.159_41" ref="A92:D99" totalsRowCount="1">
  <autoFilter ref="A92:D98"/>
  <tableColumns count="4">
    <tableColumn id="1" name="4.1" totalsRowLabel="Total" dataDxfId="127"/>
    <tableColumn id="2" name="Substituto nas Ausências Legais" dataDxfId="128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1" name="Submódulo4.260_42" displayName="Submódulo4.260_42" ref="A102:D104" totalsRowCount="1">
  <autoFilter ref="A102:D103"/>
  <tableColumns count="4">
    <tableColumn id="1" name="4.2" totalsRowLabel="Total" dataDxfId="129"/>
    <tableColumn id="2" name="Substituto na Intrajornada " dataDxfId="130"/>
    <tableColumn id="3" name="Comentário" dataDxfId="13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2" name="Table452_43" displayName="Table452_43" ref="A16:D21" totalsRowShown="0">
  <tableColumns count="4">
    <tableColumn id="1" name="Item" dataDxfId="132"/>
    <tableColumn id="2" name="Descrição" dataDxfId="133"/>
    <tableColumn id="3" name="Comentário" dataDxfId="134"/>
    <tableColumn id="4" name="Valor" dataDxfId="135"/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3" name="Módulo358_44" displayName="Módulo358_44" ref="A76:D83" totalsRowCount="1">
  <autoFilter ref="A76:D82"/>
  <tableColumns count="4">
    <tableColumn id="1" name="3" totalsRowLabel="Total" dataDxfId="136"/>
    <tableColumn id="2" name="Provisão para Rescisão" dataDxfId="137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4" name="Módulo562_45" displayName="Módulo562_45" ref="A113:D119" totalsRowCount="1">
  <autoFilter ref="A113:D118"/>
  <tableColumns count="4">
    <tableColumn id="1" name="5" totalsRowLabel="Total" dataDxfId="138"/>
    <tableColumn id="2" name="Insumos Diversos" dataDxfId="139"/>
    <tableColumn id="3" name="Comentário" dataDxfId="140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5" name="Módulo663_46" displayName="Módulo663_46" ref="A129:D136" totalsRowCount="1">
  <tableColumns count="4">
    <tableColumn id="1" name="6" totalsRowLabel="Total" dataDxfId="141"/>
    <tableColumn id="2" name="Custos Indiretos, Tributos e Lucro" dataDxfId="142"/>
    <tableColumn id="3" name="Percentual" dataDxfId="143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6" name="ResumoMódulo257_47" displayName="ResumoMódulo257_47" ref="A69:D73" totalsRowCount="1">
  <autoFilter ref="A69:D72"/>
  <tableColumns count="4">
    <tableColumn id="1" name="2" totalsRowLabel="Total" dataDxfId="144"/>
    <tableColumn id="2" name="Encargos e Benefícios Anuais, Mensais e Diários" dataDxfId="145"/>
    <tableColumn id="3" name="Comentário" dataDxfId="146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7" name="Submódulo2.154_48" displayName="Submódulo2.154_48" ref="A36:D39" totalsRowCount="1">
  <autoFilter ref="A36:D38"/>
  <tableColumns count="4">
    <tableColumn id="1" name="2.1" totalsRowLabel="Total" dataDxfId="147"/>
    <tableColumn id="2" name="13º (décimo terceiro) Salário, Férias e Adicional de Férias" dataDxfId="148"/>
    <tableColumn id="3" name="Percentual" dataDxfId="149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8" name="ResumoMódulo461_49" displayName="ResumoMódulo461_49" ref="A107:D110" totalsRowCount="1">
  <autoFilter ref="A107:D109"/>
  <tableColumns count="4">
    <tableColumn id="1" name="4" totalsRowLabel="Total" dataDxfId="150"/>
    <tableColumn id="2" name="Custo de Reposição do Profissional Ausente" dataDxfId="151"/>
    <tableColumn id="3" name="Comentário" totalsRowLabel="*Nota: Se o titular USUFRUIR do descanso intrajornada, o total é o somatório dos subitens 4.1 e 4.2" dataDxfId="15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9" name="Submódulo2.255_50" displayName="Submódulo2.255_50" ref="A46:D55" totalsRowCount="1">
  <autoFilter ref="A46:D54"/>
  <tableColumns count="4">
    <tableColumn id="1" name="2.2" totalsRowLabel="Total" dataDxfId="153"/>
    <tableColumn id="2" name="GPS, FGTS e outras contribuições" dataDxfId="154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50" name="ResumoPosto64_51" displayName="ResumoPosto64_51" ref="A140:D148" totalsRowShown="0">
  <autoFilter ref="A140:D148"/>
  <tableColumns count="4">
    <tableColumn id="1" name="Item" dataDxfId="155"/>
    <tableColumn id="2" name="Mão de obra vinculada à execução contratual" dataDxfId="156"/>
    <tableColumn id="3" name="-" dataDxfId="157"/>
    <tableColumn id="4" name="Valor" dataDxfId="158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159"/>
    <tableColumn id="2" name="Composição da Remuneração" dataDxfId="160"/>
    <tableColumn id="3" name="Comentário" dataDxfId="161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162"/>
    <tableColumn id="2" name="Benefícios Mensais e Diários" dataDxfId="163"/>
    <tableColumn id="3" name="Comentário" dataDxfId="164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165"/>
    <tableColumn id="2" name="Substituto nas Ausências Legais" dataDxfId="166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167"/>
    <tableColumn id="2" name="Substituto na Intrajornada " dataDxfId="168"/>
    <tableColumn id="3" name="Comentário" dataDxfId="169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55" name="Table452_56" displayName="Table452_56" ref="A16:D21" totalsRowShown="0">
  <tableColumns count="4">
    <tableColumn id="1" name="Item" dataDxfId="170"/>
    <tableColumn id="2" name="Descrição" dataDxfId="171"/>
    <tableColumn id="3" name="Comentário" dataDxfId="172"/>
    <tableColumn id="4" name="Valor" dataDxfId="173"/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174"/>
    <tableColumn id="2" name="Provisão para Rescisão" dataDxfId="175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176"/>
    <tableColumn id="2" name="Insumos Diversos" dataDxfId="177"/>
    <tableColumn id="3" name="Comentário" dataDxfId="178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79"/>
    <tableColumn id="2" name="Custos Indiretos, Tributos e Lucro" dataDxfId="180"/>
    <tableColumn id="3" name="Percentual" dataDxfId="181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82"/>
    <tableColumn id="2" name="Encargos e Benefícios Anuais, Mensais e Diários" dataDxfId="183"/>
    <tableColumn id="3" name="Comentário" dataDxfId="184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85"/>
    <tableColumn id="2" name="13º (décimo terceiro) Salário, Férias e Adicional de Férias" dataDxfId="186"/>
    <tableColumn id="3" name="Percentual" dataDxfId="187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88"/>
    <tableColumn id="2" name="Custo de Reposição do Profissional Ausente" dataDxfId="189"/>
    <tableColumn id="3" name="Comentário" totalsRowLabel="*Nota: Se o titular USUFRUIR do descanso intrajornada, o total é o somatório dos subitens 4.1 e 4.2" dataDxfId="190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91"/>
    <tableColumn id="2" name="GPS, FGTS e outras contribuições" dataDxfId="192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93"/>
    <tableColumn id="2" name="Mão de obra vinculada à execução contratual" dataDxfId="194"/>
    <tableColumn id="3" name="-" dataDxfId="195"/>
    <tableColumn id="4" name="Valor" dataDxfId="196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77" name="Módulo153_78" displayName="Módulo153_78" ref="A24:D31" totalsRowCount="1">
  <autoFilter ref="A24:D30"/>
  <tableColumns count="4">
    <tableColumn id="1" name="1" totalsRowLabel="Total" dataDxfId="197"/>
    <tableColumn id="2" name="Composição da Remuneração" dataDxfId="198"/>
    <tableColumn id="3" name="Comentário" dataDxfId="199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78" name="Submódulo2.356_79" displayName="Submódulo2.356_79" ref="A58:D65" totalsRowCount="1">
  <autoFilter ref="A58:D64"/>
  <tableColumns count="4">
    <tableColumn id="1" name="2.3" totalsRowLabel="Total" dataDxfId="200"/>
    <tableColumn id="2" name="Benefícios Mensais e Diários" dataDxfId="201"/>
    <tableColumn id="3" name="Comentário" dataDxfId="202"/>
    <tableColumn id="4" name="Valor" totalsRowFunction="custom">
      <totalsRowFormula>TRUNC((SUM(D59:D64)),2)</totalsRowFormula>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79" name="Submódulo4.159_80" displayName="Submódulo4.159_80" ref="A91:D98" totalsRowCount="1">
  <autoFilter ref="A91:D97"/>
  <tableColumns count="4">
    <tableColumn id="1" name="4.1" totalsRowLabel="Total" dataDxfId="203"/>
    <tableColumn id="2" name="Substituto nas Ausências Legais" dataDxfId="204"/>
    <tableColumn id="3" name="Percentual" totalsRowFunction="custom">
      <totalsRowFormula>SUM(C92:C97)</totalsRowFormula>
    </tableColumn>
    <tableColumn id="4" name="Valor" totalsRowFunction="custom">
      <totalsRowFormula>TRUNC((SUM(D92:D97)),2)</totalsRowFormula>
    </tableColumn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80" name="Submódulo4.260_81" displayName="Submódulo4.260_81" ref="A101:D103" totalsRowCount="1">
  <autoFilter ref="A101:D102"/>
  <tableColumns count="4">
    <tableColumn id="1" name="4.2" totalsRowLabel="Total" dataDxfId="205"/>
    <tableColumn id="2" name="Substituto na Intrajornada " dataDxfId="206"/>
    <tableColumn id="3" name="Comentário" dataDxfId="207"/>
    <tableColumn id="4" name="Valor" totalsRowFunction="custom">
      <totalsRowFormula>D102</totalsRowFormula>
    </tableColumn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81" name="Table452_82" displayName="Table452_82" ref="A16:D21" totalsRowShown="0">
  <tableColumns count="4">
    <tableColumn id="1" name="Item" dataDxfId="208"/>
    <tableColumn id="2" name="Descrição" dataDxfId="209"/>
    <tableColumn id="3" name="Comentário" dataDxfId="210"/>
    <tableColumn id="4" name="Valor" dataDxfId="21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82" name="Módulo358_83" displayName="Módulo358_83" ref="A75:D82" totalsRowCount="1">
  <autoFilter ref="A75:D81"/>
  <tableColumns count="4">
    <tableColumn id="1" name="3" totalsRowLabel="Total" dataDxfId="212"/>
    <tableColumn id="2" name="Provisão para Rescisão" dataDxfId="213"/>
    <tableColumn id="3" name="Percentual" totalsRowFunction="custom">
      <totalsRowFormula>SUM(C76:C81)</totalsRowFormula>
    </tableColumn>
    <tableColumn id="4" name="Valor" totalsRowFunction="custom">
      <totalsRowFormula>TRUNC((SUM(D76:D81)),2)</totalsRowFormula>
    </tableColumn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83" name="Módulo562_84" displayName="Módulo562_84" ref="A112:D118" totalsRowCount="1">
  <autoFilter ref="A112:D117"/>
  <tableColumns count="4">
    <tableColumn id="1" name="5" totalsRowLabel="Total" dataDxfId="214"/>
    <tableColumn id="2" name="Insumos Diversos" dataDxfId="215"/>
    <tableColumn id="3" name="Comentário" dataDxfId="216"/>
    <tableColumn id="4" name="Valor" totalsRowFunction="custom">
      <totalsRowFormula>TRUNC(SUM(D113:D117),2)</totalsRowFormula>
    </tableColumn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84" name="Módulo663_85" displayName="Módulo663_85" ref="A128:D135" totalsRowCount="1">
  <tableColumns count="4">
    <tableColumn id="1" name="6" totalsRowLabel="Total" dataDxfId="217"/>
    <tableColumn id="2" name="Custos Indiretos, Tributos e Lucro" dataDxfId="218"/>
    <tableColumn id="3" name="Percentual" dataDxfId="219"/>
    <tableColumn id="4" name="Valor" totalsRowFunction="custom">
      <totalsRowFormula>TRUNC(SUM(D129:D131),2)</totalsRowFormula>
    </tableColumn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85" name="ResumoMódulo257_86" displayName="ResumoMódulo257_86" ref="A68:D72" totalsRowCount="1">
  <autoFilter ref="A68:D71"/>
  <tableColumns count="4">
    <tableColumn id="1" name="2" totalsRowLabel="Total" dataDxfId="220"/>
    <tableColumn id="2" name="Encargos e Benefícios Anuais, Mensais e Diários" dataDxfId="221"/>
    <tableColumn id="3" name="Comentário" dataDxfId="222"/>
    <tableColumn id="4" name="Valor" totalsRowFunction="custom">
      <totalsRowFormula>TRUNC(SUM(D69:D71),2)</totalsRowFormula>
    </tableColumn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86" name="Submódulo2.154_87" displayName="Submódulo2.154_87" ref="A36:D39" totalsRowCount="1">
  <autoFilter ref="A36:D38"/>
  <tableColumns count="4">
    <tableColumn id="1" name="2.1" totalsRowLabel="Total" dataDxfId="223"/>
    <tableColumn id="2" name="13º (décimo terceiro) Salário, Férias e Adicional de Férias" dataDxfId="224"/>
    <tableColumn id="3" name="Percentual" dataDxfId="22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87" name="ResumoMódulo461_88" displayName="ResumoMódulo461_88" ref="A106:D109" totalsRowCount="1">
  <autoFilter ref="A106:D108"/>
  <tableColumns count="4">
    <tableColumn id="1" name="4" totalsRowLabel="Total" dataDxfId="226"/>
    <tableColumn id="2" name="Custo de Reposição do Profissional Ausente" dataDxfId="227"/>
    <tableColumn id="3" name="Comentário" totalsRowLabel="*Nota: Se o titular USUFRUIR do descanso intrajornada, o total é o somatório dos subitens 4.1 e 4.2" dataDxfId="228"/>
    <tableColumn id="4" name="Valor" totalsRowFunction="custom">
      <totalsRowFormula>TRUNC((SUM(D107:D108)),2)</totalsRowFormula>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88" name="Submódulo2.255_89" displayName="Submódulo2.255_89" ref="A46:D55" totalsRowCount="1">
  <autoFilter ref="A46:D54"/>
  <tableColumns count="4">
    <tableColumn id="1" name="2.2" totalsRowLabel="Total" dataDxfId="229"/>
    <tableColumn id="2" name="GPS, FGTS e outras contribuições" dataDxfId="230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89" name="ResumoPosto64_90" displayName="ResumoPosto64_90" ref="A139:D147" totalsRowShown="0">
  <autoFilter ref="A139:D147"/>
  <tableColumns count="4">
    <tableColumn id="1" name="Item" dataDxfId="231"/>
    <tableColumn id="2" name="Mão de obra vinculada à execução contratual" dataDxfId="232"/>
    <tableColumn id="3" name="-" dataDxfId="233"/>
    <tableColumn id="4" name="Valor" dataDxfId="234"/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235"/>
    <tableColumn id="2" name="PEÇA" dataDxfId="236"/>
    <tableColumn id="3" name="DESCRIÇÃO" dataDxfId="237"/>
    <tableColumn id="4" name="UNIDADE" dataDxfId="238"/>
    <tableColumn id="5" name="VALOR MÉDIO UNITÁRIO (R$)" dataDxfId="239"/>
    <tableColumn id="6" name="QUANTIDADE ANUAL" dataDxfId="240"/>
    <tableColumn id="7" name="VALOR ANUAL POR EMPREGADO (R$)" dataDxfId="241"/>
    <tableColumn id="8" name="VALOR MENSAL POR EMPREGADO (R$)" totalsRowFunction="sum" dataDxfId="242"/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64" name="Table43_14365" displayName="Table43_14365" ref="A18:H26">
  <autoFilter ref="A18:H26"/>
  <tableColumns count="8">
    <tableColumn id="1" name="ITEM" totalsRowLabel="Total" dataDxfId="243"/>
    <tableColumn id="2" name="PEÇA" dataDxfId="244"/>
    <tableColumn id="3" name="DESCRIÇÃO" dataDxfId="245"/>
    <tableColumn id="4" name="UNIDADE" dataDxfId="246"/>
    <tableColumn id="5" name="VALOR MÉDIO UNITÁRIO (R$)" dataDxfId="247"/>
    <tableColumn id="6" name="QUANTIDADE ANUAL" dataDxfId="248"/>
    <tableColumn id="7" name="VALOR ANUAL POR EMPREGADO (R$)" dataDxfId="249"/>
    <tableColumn id="8" name="VALOR MENSAL POR EMPREGADO (R$)" totalsRowFunction="sum" dataDxfId="250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ables/table90.xml><?xml version="1.0" encoding="utf-8"?>
<table xmlns="http://schemas.openxmlformats.org/spreadsheetml/2006/main" id="65" name="Table43_1436566" displayName="Table43_1436566" ref="A32:H40">
  <autoFilter ref="A32:H40"/>
  <tableColumns count="8">
    <tableColumn id="1" name="ITEM" totalsRowLabel="Total" dataDxfId="251"/>
    <tableColumn id="2" name="PEÇA" dataDxfId="252"/>
    <tableColumn id="3" name="DESCRIÇÃO" dataDxfId="253"/>
    <tableColumn id="4" name="UNIDADE" dataDxfId="254"/>
    <tableColumn id="5" name="VALOR MÉDIO UNITÁRIO (R$)" dataDxfId="255"/>
    <tableColumn id="6" name="QUANTIDADE ANUAL" dataDxfId="256"/>
    <tableColumn id="7" name="VALOR ANUAL POR EMPREGADO (R$)" dataDxfId="257"/>
    <tableColumn id="8" name="VALOR MENSAL POR EMPREGADO (R$)" totalsRowFunction="sum" dataDxfId="258"/>
  </tableColumns>
  <tableStyleInfo showFirstColumn="0" showLastColumn="0" showRowStripes="1" showColumnStripes="0"/>
</table>
</file>

<file path=xl/tables/table91.xml><?xml version="1.0" encoding="utf-8"?>
<table xmlns="http://schemas.openxmlformats.org/spreadsheetml/2006/main" id="66" name="Table43_143656667" displayName="Table43_143656667" ref="A46:H55">
  <autoFilter ref="A46:H55"/>
  <tableColumns count="8">
    <tableColumn id="1" name="ITEM" totalsRowLabel="Total" dataDxfId="259"/>
    <tableColumn id="2" name="PEÇA" dataDxfId="260"/>
    <tableColumn id="3" name="DESCRIÇÃO" dataDxfId="261"/>
    <tableColumn id="4" name="UNIDADE" dataDxfId="262"/>
    <tableColumn id="5" name="VALOR MÉDIO UNITÁRIO (R$)" dataDxfId="263"/>
    <tableColumn id="6" name="QUANTIDADE ANUAL" dataDxfId="264"/>
    <tableColumn id="7" name="VALOR ANUAL POR EMPREGADO (R$)" dataDxfId="265"/>
    <tableColumn id="8" name="VALOR MENSAL POR EMPREGADO (R$)" totalsRowFunction="sum" dataDxfId="266"/>
  </tableColumns>
  <tableStyleInfo showFirstColumn="0" showLastColumn="0" showRowStripes="1" showColumnStripes="0"/>
</table>
</file>

<file path=xl/tables/table92.xml><?xml version="1.0" encoding="utf-8"?>
<table xmlns="http://schemas.openxmlformats.org/spreadsheetml/2006/main" id="93" name="Table43_1436594" displayName="Table43_1436594" ref="A61:H70">
  <autoFilter ref="A61:H70"/>
  <tableColumns count="8">
    <tableColumn id="1" name="ITEM" totalsRowLabel="Total"/>
    <tableColumn id="2" name="PEÇA" dataDxfId="267"/>
    <tableColumn id="3" name="DESCRIÇÃO"/>
    <tableColumn id="4" name="UNIDADE" dataDxfId="268"/>
    <tableColumn id="5" name="VALOR MÉDIO UNITÁRIO (R$)"/>
    <tableColumn id="6" name="QUANTIDADE ANUAL"/>
    <tableColumn id="7" name="VALOR ANUAL POR EMPREGADO (R$)"/>
    <tableColumn id="8" name="VALOR MENSAL POR EMPREGADO (R$)" totalsRowFunction="sum"/>
  </tableColumns>
  <tableStyleInfo showFirstColumn="0" showLastColumn="0" showRowStripes="1" showColumnStripes="0"/>
</table>
</file>

<file path=xl/tables/table93.xml><?xml version="1.0" encoding="utf-8"?>
<table xmlns="http://schemas.openxmlformats.org/spreadsheetml/2006/main" id="5" name="Table43_2" displayName="Table43_2" ref="A2:G6" totalsRowCount="1">
  <autoFilter ref="A2:G5"/>
  <tableColumns count="7">
    <tableColumn id="1" name="Item" totalsRowLabel="Total" dataDxfId="269"/>
    <tableColumn id="2" name="Peça" dataDxfId="270"/>
    <tableColumn id="3" name="Descrição" dataDxfId="271"/>
    <tableColumn id="4" name="Valor Médio Unitário (R$)" dataDxfId="272"/>
    <tableColumn id="5" name="Quantidade Anual" dataDxfId="273"/>
    <tableColumn id="6" name="Valor Anual/ Empregado (R$)" dataDxfId="274"/>
    <tableColumn id="7" name="Valor Mensal/ Empregado" totalsRowFunction="sum" dataDxfId="275"/>
  </tableColumns>
  <tableStyleInfo name="TableStyleMedium14" showFirstColumn="0" showLastColumn="0" showRowStripes="1" showColumnStripes="0"/>
</table>
</file>

<file path=xl/tables/table94.xml><?xml version="1.0" encoding="utf-8"?>
<table xmlns="http://schemas.openxmlformats.org/spreadsheetml/2006/main" id="7" name="Table39" displayName="Table39" ref="A2:G9" totalsRowCount="1">
  <tableColumns count="7">
    <tableColumn id="1" name="Item" totalsRowLabel="TOTAL" dataDxfId="276"/>
    <tableColumn id="2" name="Descrição" dataDxfId="277"/>
    <tableColumn id="7" name="Unidade" dataDxfId="278"/>
    <tableColumn id="3" name="Quantidade" dataDxfId="279"/>
    <tableColumn id="6" name="VIGÊNCIA (Mês)" dataDxfId="280"/>
    <tableColumn id="4" name="VALOR UNITÁRIO MÁXIMO ACEITÁVEL" dataDxfId="281"/>
    <tableColumn id="5" name="VALOR TOTAL MÁXIMO ACEITÁVEL" totalsRowFunction="custom">
      <totalsRowFormula>SUM(G3:G8)</totalsRow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4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9.xml.rels><?xml version="1.0" encoding="UTF-8" standalone="yes"?>
<Relationships xmlns="http://schemas.openxmlformats.org/package/2006/relationships"><Relationship Id="rId5" Type="http://schemas.openxmlformats.org/officeDocument/2006/relationships/table" Target="../tables/table92.xml"/><Relationship Id="rId4" Type="http://schemas.openxmlformats.org/officeDocument/2006/relationships/table" Target="../tables/table91.xml"/><Relationship Id="rId3" Type="http://schemas.openxmlformats.org/officeDocument/2006/relationships/table" Target="../tables/table90.xml"/><Relationship Id="rId2" Type="http://schemas.openxmlformats.org/officeDocument/2006/relationships/table" Target="../tables/table89.xml"/><Relationship Id="rId1" Type="http://schemas.openxmlformats.org/officeDocument/2006/relationships/table" Target="../tables/table8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208" t="s">
        <v>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ht="57" customHeight="1" spans="1:11">
      <c r="A2" s="209" t="s">
        <v>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</row>
    <row r="3" ht="51" customHeight="1" spans="1:11">
      <c r="A3" s="209" t="s">
        <v>2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ht="54.75" customHeight="1" spans="1:11">
      <c r="A4" s="209" t="s">
        <v>3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</row>
    <row r="5" ht="67.5" customHeight="1" spans="1:11">
      <c r="A5" s="210" t="s">
        <v>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ht="84.75" customHeight="1" spans="1:11">
      <c r="A6" s="210" t="s">
        <v>5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</row>
    <row r="7" ht="49.5" customHeight="1" spans="1:11">
      <c r="A7" s="210" t="s">
        <v>6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</row>
    <row r="8" ht="38.25" customHeight="1" spans="1:11">
      <c r="A8" s="210" t="s">
        <v>7</v>
      </c>
      <c r="B8" s="210"/>
      <c r="C8" s="210"/>
      <c r="D8" s="210"/>
      <c r="E8" s="210"/>
      <c r="F8" s="210"/>
      <c r="G8" s="210"/>
      <c r="H8" s="210"/>
      <c r="I8" s="210"/>
      <c r="J8" s="210"/>
      <c r="K8" s="210"/>
    </row>
    <row r="9" ht="39.75" customHeight="1" spans="1:11">
      <c r="A9" s="209" t="s">
        <v>8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</row>
    <row r="10" ht="41.25" customHeight="1" spans="1:11">
      <c r="A10" s="209" t="s">
        <v>9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</row>
    <row r="11" ht="41.25" customHeight="1" spans="1:11">
      <c r="A11" s="211" t="s">
        <v>10</v>
      </c>
      <c r="B11" s="211"/>
      <c r="C11" s="211"/>
      <c r="D11" s="211"/>
      <c r="E11" s="211"/>
      <c r="F11" s="211"/>
      <c r="G11" s="211"/>
      <c r="H11" s="211"/>
      <c r="I11" s="211"/>
      <c r="J11" s="211"/>
      <c r="K11" s="211"/>
    </row>
    <row r="12" spans="1:11">
      <c r="A12" s="212" t="s">
        <v>11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</row>
    <row r="13" spans="1:11">
      <c r="A13" s="213" t="s">
        <v>12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</row>
    <row r="14" spans="1:11">
      <c r="A14" s="213" t="s">
        <v>13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J9" sqref="J9"/>
    </sheetView>
  </sheetViews>
  <sheetFormatPr defaultColWidth="8.88571428571429" defaultRowHeight="15" outlineLevelRow="5" outlineLevelCol="6"/>
  <cols>
    <col min="2" max="2" width="20.6666666666667" customWidth="1"/>
    <col min="3" max="3" width="27" customWidth="1"/>
    <col min="4" max="4" width="12.2190476190476" customWidth="1"/>
    <col min="5" max="5" width="12.552380952381" customWidth="1"/>
    <col min="6" max="6" width="12.7809523809524" customWidth="1"/>
    <col min="7" max="7" width="12.552380952381" customWidth="1"/>
  </cols>
  <sheetData>
    <row r="1" spans="1:7">
      <c r="A1" s="15" t="s">
        <v>156</v>
      </c>
      <c r="B1" s="15"/>
      <c r="C1" s="15" t="s">
        <v>156</v>
      </c>
      <c r="D1" s="15"/>
      <c r="E1" s="15"/>
      <c r="F1" s="15"/>
      <c r="G1" s="15"/>
    </row>
    <row r="2" ht="45" spans="1:7">
      <c r="A2" s="5" t="s">
        <v>16</v>
      </c>
      <c r="B2" s="5" t="s">
        <v>319</v>
      </c>
      <c r="C2" s="5" t="s">
        <v>17</v>
      </c>
      <c r="D2" s="5" t="s">
        <v>320</v>
      </c>
      <c r="E2" s="5" t="s">
        <v>321</v>
      </c>
      <c r="F2" s="5" t="s">
        <v>322</v>
      </c>
      <c r="G2" s="5" t="s">
        <v>323</v>
      </c>
    </row>
    <row r="3" ht="60" spans="1:7">
      <c r="A3" s="16">
        <v>1</v>
      </c>
      <c r="B3" s="16" t="s">
        <v>324</v>
      </c>
      <c r="C3" s="17" t="s">
        <v>325</v>
      </c>
      <c r="D3" s="18">
        <v>23.23</v>
      </c>
      <c r="E3" s="19">
        <v>2</v>
      </c>
      <c r="F3" s="20">
        <f>Table43_2[[#This Row],[Quantidade Anual]]*Table43_2[[#This Row],[Valor Médio Unitário (R$)]]/2</f>
        <v>23.23</v>
      </c>
      <c r="G3" s="20">
        <f>Table43_2[[#This Row],[Valor Anual/ Empregado (R$)]]/12</f>
        <v>1.93583333333333</v>
      </c>
    </row>
    <row r="4" ht="90" spans="1:7">
      <c r="A4" s="16">
        <v>2</v>
      </c>
      <c r="B4" s="16" t="s">
        <v>326</v>
      </c>
      <c r="C4" s="17" t="s">
        <v>327</v>
      </c>
      <c r="D4" s="21">
        <v>0.52</v>
      </c>
      <c r="E4" s="19">
        <v>4</v>
      </c>
      <c r="F4" s="20">
        <f>Table43_2[[#This Row],[Quantidade Anual]]*Table43_2[[#This Row],[Valor Médio Unitário (R$)]]/2</f>
        <v>1.04</v>
      </c>
      <c r="G4" s="20">
        <f>Table43_2[[#This Row],[Valor Anual/ Empregado (R$)]]/12</f>
        <v>0.0866666666666667</v>
      </c>
    </row>
    <row r="5" ht="60" spans="1:7">
      <c r="A5" s="16">
        <v>3</v>
      </c>
      <c r="B5" s="22" t="s">
        <v>328</v>
      </c>
      <c r="C5" s="17" t="s">
        <v>329</v>
      </c>
      <c r="D5" s="21">
        <v>14.64</v>
      </c>
      <c r="E5" s="19">
        <v>1</v>
      </c>
      <c r="F5" s="20">
        <f>Table43_2[[#This Row],[Quantidade Anual]]*Table43_2[[#This Row],[Valor Médio Unitário (R$)]]/2</f>
        <v>7.32</v>
      </c>
      <c r="G5" s="20">
        <f>Table43_2[[#This Row],[Valor Anual/ Empregado (R$)]]/12</f>
        <v>0.61</v>
      </c>
    </row>
    <row r="6" spans="1:7">
      <c r="A6" s="23" t="s">
        <v>58</v>
      </c>
      <c r="B6" s="23"/>
      <c r="C6" s="23"/>
      <c r="D6" s="23"/>
      <c r="E6" s="23"/>
      <c r="F6" s="23"/>
      <c r="G6" s="24">
        <f>SUBTOTAL(109,Table43_2[Valor Mensal/ Empregado])</f>
        <v>2.6325</v>
      </c>
    </row>
  </sheetData>
  <mergeCells count="1">
    <mergeCell ref="A1:G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topLeftCell="A2" workbookViewId="0">
      <selection activeCell="B4" sqref="B4"/>
    </sheetView>
  </sheetViews>
  <sheetFormatPr defaultColWidth="8.88571428571429" defaultRowHeight="15" outlineLevelCol="6"/>
  <cols>
    <col min="1" max="1" width="8.88571428571429" style="1"/>
    <col min="2" max="2" width="32.55238095238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330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286</v>
      </c>
      <c r="D2" s="5" t="s">
        <v>331</v>
      </c>
      <c r="E2" s="5" t="s">
        <v>332</v>
      </c>
      <c r="F2" s="5" t="s">
        <v>333</v>
      </c>
      <c r="G2" s="5" t="s">
        <v>334</v>
      </c>
    </row>
    <row r="3" ht="90" spans="1:7">
      <c r="A3" s="5">
        <v>46</v>
      </c>
      <c r="B3" s="6" t="s">
        <v>335</v>
      </c>
      <c r="C3" s="5" t="s">
        <v>336</v>
      </c>
      <c r="D3" s="5">
        <v>30</v>
      </c>
      <c r="E3" s="5">
        <v>12</v>
      </c>
      <c r="F3" s="7">
        <f>'Recepcionista Secretário(a)'!D148</f>
        <v>3475.31</v>
      </c>
      <c r="G3" s="8">
        <f>(D3*F3)*(E3)</f>
        <v>1251111.6</v>
      </c>
    </row>
    <row r="4" ht="90" spans="1:7">
      <c r="A4" s="5">
        <v>47</v>
      </c>
      <c r="B4" s="9" t="s">
        <v>337</v>
      </c>
      <c r="C4" s="5" t="s">
        <v>336</v>
      </c>
      <c r="D4" s="5">
        <v>2</v>
      </c>
      <c r="E4" s="5">
        <v>12</v>
      </c>
      <c r="F4" s="7">
        <f>'Téc. Saúde Bucal'!D148</f>
        <v>4042.76</v>
      </c>
      <c r="G4" s="8">
        <f>(D4*F4)*(E4)</f>
        <v>97026.24</v>
      </c>
    </row>
    <row r="5" ht="75" spans="1:7">
      <c r="A5" s="5">
        <v>48</v>
      </c>
      <c r="B5" s="6" t="s">
        <v>338</v>
      </c>
      <c r="C5" s="5" t="s">
        <v>336</v>
      </c>
      <c r="D5" s="10">
        <v>3</v>
      </c>
      <c r="E5" s="10">
        <v>12</v>
      </c>
      <c r="F5" s="8">
        <f>'Copeiro (a)'!D148</f>
        <v>3372.97</v>
      </c>
      <c r="G5" s="8">
        <f>(D5*F5)*(E5)</f>
        <v>121426.92</v>
      </c>
    </row>
    <row r="6" ht="120" spans="1:7">
      <c r="A6" s="10">
        <v>49</v>
      </c>
      <c r="B6" s="6" t="s">
        <v>339</v>
      </c>
      <c r="C6" s="5" t="s">
        <v>336</v>
      </c>
      <c r="D6" s="10">
        <v>16</v>
      </c>
      <c r="E6" s="10">
        <v>12</v>
      </c>
      <c r="F6" s="8">
        <f>Portaria!D149</f>
        <v>7043.14</v>
      </c>
      <c r="G6" s="8">
        <f>(D6*F6)*(E6)</f>
        <v>1352282.88</v>
      </c>
    </row>
    <row r="7" ht="90" spans="1:7">
      <c r="A7" s="5">
        <v>50</v>
      </c>
      <c r="B7" s="6" t="s">
        <v>340</v>
      </c>
      <c r="C7" s="5" t="s">
        <v>336</v>
      </c>
      <c r="D7" s="10">
        <v>2</v>
      </c>
      <c r="E7" s="10">
        <v>12</v>
      </c>
      <c r="F7" s="8">
        <f>'Motorista Interestadual'!D147</f>
        <v>6488.46</v>
      </c>
      <c r="G7" s="8">
        <f>(D7*F7)*(E7)</f>
        <v>155723.04</v>
      </c>
    </row>
    <row r="8" ht="20" customHeight="1" spans="1:7">
      <c r="A8" s="5">
        <v>51</v>
      </c>
      <c r="B8" s="11" t="s">
        <v>341</v>
      </c>
      <c r="C8" s="5" t="s">
        <v>342</v>
      </c>
      <c r="D8" s="10">
        <v>200</v>
      </c>
      <c r="E8" s="10">
        <v>12</v>
      </c>
      <c r="F8" s="8">
        <f>Diárias!E19</f>
        <v>190.91</v>
      </c>
      <c r="G8" s="8">
        <f>(D8*F8)</f>
        <v>38182</v>
      </c>
    </row>
    <row r="9" spans="1:7">
      <c r="A9" s="10" t="s">
        <v>204</v>
      </c>
      <c r="B9" s="12"/>
      <c r="C9" s="12"/>
      <c r="D9" s="12"/>
      <c r="E9" s="12"/>
      <c r="F9" s="12"/>
      <c r="G9" s="13">
        <f>SUM(G3:G8)</f>
        <v>3015752.68</v>
      </c>
    </row>
    <row r="10" spans="1:7">
      <c r="A10" s="10"/>
      <c r="B10" s="14"/>
      <c r="C10" s="14"/>
      <c r="D10" s="14"/>
      <c r="E10" s="14"/>
      <c r="F10" s="14"/>
      <c r="G10" s="14"/>
    </row>
    <row r="11" spans="1:7">
      <c r="A11" s="10"/>
      <c r="B11" s="12"/>
      <c r="C11" s="12"/>
      <c r="D11" s="12"/>
      <c r="E11" s="12"/>
      <c r="F11" s="12"/>
      <c r="G11" s="12"/>
    </row>
    <row r="12" spans="1:7">
      <c r="A12" s="10"/>
      <c r="B12" s="12"/>
      <c r="C12" s="12"/>
      <c r="D12" s="12"/>
      <c r="E12" s="12"/>
      <c r="F12" s="12"/>
      <c r="G12" s="12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95" t="s">
        <v>14</v>
      </c>
      <c r="B1" s="195"/>
      <c r="C1" s="195"/>
      <c r="D1" s="195"/>
      <c r="F1" s="126" t="s">
        <v>15</v>
      </c>
      <c r="G1" s="126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</row>
    <row r="2" spans="1:21">
      <c r="A2" s="128" t="s">
        <v>16</v>
      </c>
      <c r="B2" t="s">
        <v>17</v>
      </c>
      <c r="C2" s="128" t="s">
        <v>18</v>
      </c>
      <c r="D2" s="128" t="s">
        <v>19</v>
      </c>
      <c r="F2" s="133" t="s">
        <v>17</v>
      </c>
      <c r="G2" s="133" t="s">
        <v>19</v>
      </c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</row>
    <row r="3" spans="1:21">
      <c r="A3" s="128">
        <v>1</v>
      </c>
      <c r="B3" t="s">
        <v>20</v>
      </c>
      <c r="C3" s="128"/>
      <c r="D3" s="128" t="s">
        <v>21</v>
      </c>
      <c r="F3" t="s">
        <v>22</v>
      </c>
      <c r="G3" s="196">
        <v>0</v>
      </c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</row>
    <row r="4" spans="1:21">
      <c r="A4" s="128">
        <v>2</v>
      </c>
      <c r="B4" t="s">
        <v>23</v>
      </c>
      <c r="C4" s="128"/>
      <c r="D4" s="128" t="s">
        <v>24</v>
      </c>
      <c r="F4" t="s">
        <v>25</v>
      </c>
      <c r="G4" s="196">
        <v>12</v>
      </c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</row>
    <row r="5" spans="1:21">
      <c r="A5" s="128">
        <v>3</v>
      </c>
      <c r="B5" t="s">
        <v>26</v>
      </c>
      <c r="C5" s="128" t="s">
        <v>27</v>
      </c>
      <c r="D5" s="197">
        <v>998</v>
      </c>
      <c r="F5" t="s">
        <v>28</v>
      </c>
      <c r="G5" s="129">
        <v>22</v>
      </c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</row>
    <row r="6" spans="1:21">
      <c r="A6" s="128">
        <v>4</v>
      </c>
      <c r="B6" t="s">
        <v>29</v>
      </c>
      <c r="C6" s="128" t="s">
        <v>30</v>
      </c>
      <c r="D6" s="128" t="s">
        <v>31</v>
      </c>
      <c r="F6" t="s">
        <v>32</v>
      </c>
      <c r="G6" s="198">
        <v>0.03</v>
      </c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</row>
    <row r="7" spans="1:21">
      <c r="A7" s="128">
        <v>5</v>
      </c>
      <c r="B7" t="s">
        <v>33</v>
      </c>
      <c r="C7" s="128"/>
      <c r="D7" s="128" t="s">
        <v>34</v>
      </c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</row>
    <row r="8" spans="6:21">
      <c r="F8" s="126" t="s">
        <v>35</v>
      </c>
      <c r="G8" s="126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</row>
    <row r="9" spans="1:21">
      <c r="A9" s="110" t="s">
        <v>36</v>
      </c>
      <c r="B9" s="110"/>
      <c r="C9" s="110"/>
      <c r="D9" s="110"/>
      <c r="F9" s="133" t="s">
        <v>37</v>
      </c>
      <c r="G9" s="133" t="s">
        <v>38</v>
      </c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</row>
    <row r="10" spans="1:21">
      <c r="A10" s="128" t="s">
        <v>39</v>
      </c>
      <c r="B10" s="133" t="s">
        <v>40</v>
      </c>
      <c r="C10" s="128" t="s">
        <v>18</v>
      </c>
      <c r="D10" s="128" t="s">
        <v>19</v>
      </c>
      <c r="F10" t="s">
        <v>41</v>
      </c>
      <c r="G10" s="179">
        <v>0.4337</v>
      </c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</row>
    <row r="11" spans="1:21">
      <c r="A11" s="128" t="s">
        <v>42</v>
      </c>
      <c r="B11" t="s">
        <v>43</v>
      </c>
      <c r="C11" s="128"/>
      <c r="D11" s="135">
        <f>Salário_Normativo_da_Categoria_Profissional</f>
        <v>998</v>
      </c>
      <c r="F11" t="s">
        <v>44</v>
      </c>
      <c r="G11" s="179">
        <v>0.4337</v>
      </c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</row>
    <row r="12" spans="1:21">
      <c r="A12" s="128" t="s">
        <v>45</v>
      </c>
      <c r="B12" t="s">
        <v>46</v>
      </c>
      <c r="C12" s="128"/>
      <c r="D12" s="135"/>
      <c r="F12" t="s">
        <v>47</v>
      </c>
      <c r="G12" s="179">
        <v>0.0218</v>
      </c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</row>
    <row r="13" spans="1:21">
      <c r="A13" s="128" t="s">
        <v>48</v>
      </c>
      <c r="B13" t="s">
        <v>49</v>
      </c>
      <c r="C13" s="128"/>
      <c r="D13" s="135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</row>
    <row r="14" spans="1:21">
      <c r="A14" s="128" t="s">
        <v>50</v>
      </c>
      <c r="B14" t="s">
        <v>51</v>
      </c>
      <c r="C14" s="128"/>
      <c r="D14" s="135"/>
      <c r="F14" s="126" t="s">
        <v>52</v>
      </c>
      <c r="G14" s="126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</row>
    <row r="15" spans="1:21">
      <c r="A15" s="128" t="s">
        <v>53</v>
      </c>
      <c r="B15" t="s">
        <v>54</v>
      </c>
      <c r="C15" s="128"/>
      <c r="D15" s="135"/>
      <c r="F15" s="199" t="s">
        <v>17</v>
      </c>
      <c r="G15" s="199" t="s">
        <v>38</v>
      </c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</row>
    <row r="16" spans="1:21">
      <c r="A16" s="128" t="s">
        <v>55</v>
      </c>
      <c r="B16" t="s">
        <v>56</v>
      </c>
      <c r="C16" s="128"/>
      <c r="D16" s="135"/>
      <c r="F16" s="138" t="s">
        <v>57</v>
      </c>
      <c r="G16" s="200">
        <v>0.0471</v>
      </c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</row>
    <row r="17" spans="1:21">
      <c r="A17" s="128" t="s">
        <v>58</v>
      </c>
      <c r="C17" s="128"/>
      <c r="D17" s="135">
        <f>SUBTOTAL(109,Módulo1[Valor])</f>
        <v>998</v>
      </c>
      <c r="F17" s="138" t="s">
        <v>59</v>
      </c>
      <c r="G17" s="200">
        <v>0.0467</v>
      </c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</row>
    <row r="18" spans="6:21">
      <c r="F18" s="138" t="s">
        <v>60</v>
      </c>
      <c r="G18" s="201">
        <v>0.0165</v>
      </c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</row>
    <row r="19" spans="1:21">
      <c r="A19" s="136" t="s">
        <v>61</v>
      </c>
      <c r="B19" s="136"/>
      <c r="C19" s="136"/>
      <c r="D19" s="136"/>
      <c r="F19" s="138" t="s">
        <v>62</v>
      </c>
      <c r="G19" s="201">
        <v>0.076</v>
      </c>
      <c r="H19" s="138"/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</row>
    <row r="20" spans="1:21">
      <c r="A20" s="126" t="s">
        <v>63</v>
      </c>
      <c r="B20" s="126"/>
      <c r="C20" s="126"/>
      <c r="D20" s="126"/>
      <c r="F20" s="138" t="s">
        <v>64</v>
      </c>
      <c r="G20" s="201">
        <v>0.05</v>
      </c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</row>
    <row r="21" spans="1:21">
      <c r="A21" s="128" t="s">
        <v>65</v>
      </c>
      <c r="B21" s="133" t="s">
        <v>66</v>
      </c>
      <c r="C21" s="128" t="s">
        <v>18</v>
      </c>
      <c r="D21" s="128" t="s">
        <v>19</v>
      </c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</row>
    <row r="22" spans="1:21">
      <c r="A22" s="128" t="s">
        <v>42</v>
      </c>
      <c r="B22" t="s">
        <v>67</v>
      </c>
      <c r="D22" s="135">
        <f>Módulo1[[#Totals],[Valor]]/12</f>
        <v>83.1666666666667</v>
      </c>
      <c r="F22" s="138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</row>
    <row r="23" spans="1:21">
      <c r="A23" s="128" t="s">
        <v>45</v>
      </c>
      <c r="B23" t="s">
        <v>68</v>
      </c>
      <c r="D23" s="135">
        <f>(Módulo1[[#Totals],[Valor]]/12)*(1+(1/3))</f>
        <v>110.888888888889</v>
      </c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</row>
    <row r="24" spans="1:21">
      <c r="A24" s="128" t="s">
        <v>58</v>
      </c>
      <c r="D24" s="135">
        <f>SUBTOTAL(109,Submódulo2.1[Valor])</f>
        <v>194.055555555556</v>
      </c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</row>
    <row r="25" spans="1:21">
      <c r="A25" s="128"/>
      <c r="D25" s="135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</row>
    <row r="26" spans="1:21">
      <c r="A26" s="127" t="s">
        <v>69</v>
      </c>
      <c r="B26" s="127"/>
      <c r="C26" s="127"/>
      <c r="D26" s="127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</row>
    <row r="27" spans="1:21">
      <c r="A27" s="127" t="s">
        <v>16</v>
      </c>
      <c r="B27" s="127" t="s">
        <v>70</v>
      </c>
      <c r="C27" s="127" t="s">
        <v>71</v>
      </c>
      <c r="D27" s="202" t="s">
        <v>72</v>
      </c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</row>
    <row r="28" ht="30" spans="1:21">
      <c r="A28" s="147" t="s">
        <v>42</v>
      </c>
      <c r="B28" s="203" t="s">
        <v>73</v>
      </c>
      <c r="C28" s="204" t="s">
        <v>74</v>
      </c>
      <c r="D28" s="203" t="s">
        <v>75</v>
      </c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</row>
    <row r="29" ht="30" spans="1:21">
      <c r="A29" s="147" t="s">
        <v>45</v>
      </c>
      <c r="B29" s="205" t="s">
        <v>68</v>
      </c>
      <c r="C29" s="204" t="s">
        <v>74</v>
      </c>
      <c r="D29" s="203" t="s">
        <v>76</v>
      </c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</row>
    <row r="30" spans="1:21">
      <c r="A30" s="128"/>
      <c r="B30" s="128"/>
      <c r="C30" s="15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</row>
    <row r="31" spans="1:4">
      <c r="A31" s="126" t="s">
        <v>77</v>
      </c>
      <c r="B31" s="126"/>
      <c r="C31" s="126"/>
      <c r="D31" s="126"/>
    </row>
    <row r="32" spans="1:4">
      <c r="A32" s="128" t="s">
        <v>78</v>
      </c>
      <c r="B32" s="133" t="s">
        <v>79</v>
      </c>
      <c r="C32" s="128" t="s">
        <v>38</v>
      </c>
      <c r="D32" s="128" t="s">
        <v>80</v>
      </c>
    </row>
    <row r="33" spans="1:4">
      <c r="A33" s="128" t="s">
        <v>42</v>
      </c>
      <c r="B33" t="s">
        <v>81</v>
      </c>
      <c r="C33" s="137">
        <v>0.2</v>
      </c>
      <c r="D33" s="135">
        <f>C33*(Módulo1[[#Totals],[Valor]]+Submódulo2.1[[#Totals],[Valor]])</f>
        <v>238.411111111111</v>
      </c>
    </row>
    <row r="34" spans="1:4">
      <c r="A34" s="128" t="s">
        <v>45</v>
      </c>
      <c r="B34" t="s">
        <v>82</v>
      </c>
      <c r="C34" s="137">
        <v>0.025</v>
      </c>
      <c r="D34" s="135">
        <f>C34*(Módulo1[[#Totals],[Valor]]+Submódulo2.1[[#Totals],[Valor]])</f>
        <v>29.8013888888889</v>
      </c>
    </row>
    <row r="35" spans="1:4">
      <c r="A35" s="128" t="s">
        <v>48</v>
      </c>
      <c r="B35" t="s">
        <v>83</v>
      </c>
      <c r="C35" s="137">
        <f>Servente!G6</f>
        <v>0.03</v>
      </c>
      <c r="D35" s="135">
        <f>C35*(Módulo1[[#Totals],[Valor]]+Submódulo2.1[[#Totals],[Valor]])</f>
        <v>35.7616666666667</v>
      </c>
    </row>
    <row r="36" spans="1:4">
      <c r="A36" s="128" t="s">
        <v>50</v>
      </c>
      <c r="B36" t="s">
        <v>84</v>
      </c>
      <c r="C36" s="137">
        <v>0.015</v>
      </c>
      <c r="D36" s="135">
        <f>C36*(Módulo1[[#Totals],[Valor]]+Submódulo2.1[[#Totals],[Valor]])</f>
        <v>17.8808333333333</v>
      </c>
    </row>
    <row r="37" spans="1:4">
      <c r="A37" s="128" t="s">
        <v>53</v>
      </c>
      <c r="B37" t="s">
        <v>85</v>
      </c>
      <c r="C37" s="137">
        <v>0.01</v>
      </c>
      <c r="D37" s="135">
        <f>C37*(Módulo1[[#Totals],[Valor]]+Submódulo2.1[[#Totals],[Valor]])</f>
        <v>11.9205555555556</v>
      </c>
    </row>
    <row r="38" spans="1:4">
      <c r="A38" s="128" t="s">
        <v>55</v>
      </c>
      <c r="B38" t="s">
        <v>86</v>
      </c>
      <c r="C38" s="137">
        <v>0.006</v>
      </c>
      <c r="D38" s="135">
        <f>C38*(Módulo1[[#Totals],[Valor]]+Submódulo2.1[[#Totals],[Valor]])</f>
        <v>7.15233333333333</v>
      </c>
    </row>
    <row r="39" spans="1:4">
      <c r="A39" s="128" t="s">
        <v>87</v>
      </c>
      <c r="B39" t="s">
        <v>88</v>
      </c>
      <c r="C39" s="137">
        <v>0.002</v>
      </c>
      <c r="D39" s="135">
        <f>C39*(Módulo1[[#Totals],[Valor]]+Submódulo2.1[[#Totals],[Valor]])</f>
        <v>2.38411111111111</v>
      </c>
    </row>
    <row r="40" spans="1:4">
      <c r="A40" s="128" t="s">
        <v>89</v>
      </c>
      <c r="B40" t="s">
        <v>90</v>
      </c>
      <c r="C40" s="137">
        <v>0.08</v>
      </c>
      <c r="D40" s="135">
        <f>C40*(Módulo1[[#Totals],[Valor]]+Submódulo2.1[[#Totals],[Valor]])</f>
        <v>95.3644444444445</v>
      </c>
    </row>
    <row r="41" spans="1:4">
      <c r="A41" s="128" t="s">
        <v>58</v>
      </c>
      <c r="C41" s="144">
        <f>SUBTOTAL(109,Submódulo2.2[Percentual])</f>
        <v>0.368</v>
      </c>
      <c r="D41" s="135">
        <f>SUBTOTAL(109,Submódulo2.2[Valor ])</f>
        <v>438.676444444444</v>
      </c>
    </row>
    <row r="42" spans="1:4">
      <c r="A42" s="128"/>
      <c r="C42" s="144"/>
      <c r="D42" s="135"/>
    </row>
    <row r="43" spans="1:4">
      <c r="A43" s="127" t="s">
        <v>91</v>
      </c>
      <c r="B43" s="127"/>
      <c r="C43" s="127"/>
      <c r="D43" s="127"/>
    </row>
    <row r="44" spans="1:4">
      <c r="A44" s="127" t="s">
        <v>16</v>
      </c>
      <c r="B44" s="127" t="s">
        <v>70</v>
      </c>
      <c r="C44" s="127" t="s">
        <v>71</v>
      </c>
      <c r="D44" s="202" t="s">
        <v>72</v>
      </c>
    </row>
    <row r="45" ht="30" spans="1:4">
      <c r="A45" s="147" t="s">
        <v>92</v>
      </c>
      <c r="B45" s="203" t="s">
        <v>79</v>
      </c>
      <c r="C45" s="203" t="s">
        <v>93</v>
      </c>
      <c r="D45" s="203" t="s">
        <v>94</v>
      </c>
    </row>
    <row r="47" spans="1:4">
      <c r="A47" s="126" t="s">
        <v>95</v>
      </c>
      <c r="B47" s="126"/>
      <c r="C47" s="126"/>
      <c r="D47" s="126"/>
    </row>
    <row r="48" spans="1:4">
      <c r="A48" s="128" t="s">
        <v>96</v>
      </c>
      <c r="B48" s="133" t="s">
        <v>97</v>
      </c>
      <c r="C48" s="128" t="s">
        <v>18</v>
      </c>
      <c r="D48" s="128" t="s">
        <v>19</v>
      </c>
    </row>
    <row r="49" spans="1:4">
      <c r="A49" s="128" t="s">
        <v>42</v>
      </c>
      <c r="B49" t="s">
        <v>98</v>
      </c>
      <c r="D49" s="135">
        <f>IF(G3=0,0,(Servente!G3*2*Servente!G5)-(6%*_1A))</f>
        <v>0</v>
      </c>
    </row>
    <row r="50" spans="1:4">
      <c r="A50" s="128" t="s">
        <v>45</v>
      </c>
      <c r="B50" t="s">
        <v>99</v>
      </c>
      <c r="D50" s="135">
        <f>(Servente!G4*Servente!G5)*80%</f>
        <v>211.2</v>
      </c>
    </row>
    <row r="51" spans="1:4">
      <c r="A51" s="128" t="s">
        <v>48</v>
      </c>
      <c r="B51" t="s">
        <v>100</v>
      </c>
      <c r="D51" s="135"/>
    </row>
    <row r="52" spans="1:4">
      <c r="A52" s="128" t="s">
        <v>50</v>
      </c>
      <c r="B52" t="s">
        <v>56</v>
      </c>
      <c r="D52" s="135"/>
    </row>
    <row r="53" spans="1:4">
      <c r="A53" s="128" t="s">
        <v>58</v>
      </c>
      <c r="D53" s="135">
        <v>211.2</v>
      </c>
    </row>
    <row r="54" spans="1:4">
      <c r="A54" s="128"/>
      <c r="D54" s="135"/>
    </row>
    <row r="55" spans="1:4">
      <c r="A55" s="127" t="s">
        <v>101</v>
      </c>
      <c r="B55" s="127"/>
      <c r="C55" s="127"/>
      <c r="D55" s="127"/>
    </row>
    <row r="56" spans="1:4">
      <c r="A56" s="127" t="s">
        <v>16</v>
      </c>
      <c r="B56" s="127" t="s">
        <v>70</v>
      </c>
      <c r="C56" s="127" t="s">
        <v>71</v>
      </c>
      <c r="D56" s="127" t="s">
        <v>72</v>
      </c>
    </row>
    <row r="57" ht="45" spans="1:4">
      <c r="A57" s="147" t="s">
        <v>42</v>
      </c>
      <c r="B57" s="203" t="s">
        <v>98</v>
      </c>
      <c r="C57" s="204" t="s">
        <v>102</v>
      </c>
      <c r="D57" s="204" t="s">
        <v>103</v>
      </c>
    </row>
    <row r="58" ht="30" spans="1:4">
      <c r="A58" s="147" t="s">
        <v>45</v>
      </c>
      <c r="B58" s="205" t="s">
        <v>99</v>
      </c>
      <c r="C58" s="204" t="s">
        <v>102</v>
      </c>
      <c r="D58" s="204" t="s">
        <v>104</v>
      </c>
    </row>
    <row r="59" ht="19.5" customHeight="1" spans="1:4">
      <c r="A59" s="128"/>
      <c r="D59" s="135"/>
    </row>
    <row r="60" spans="1:4">
      <c r="A60" s="126" t="s">
        <v>105</v>
      </c>
      <c r="B60" s="126"/>
      <c r="C60" s="126"/>
      <c r="D60" s="126"/>
    </row>
    <row r="61" spans="1:4">
      <c r="A61" s="128" t="s">
        <v>106</v>
      </c>
      <c r="B61" s="133" t="s">
        <v>107</v>
      </c>
      <c r="C61" s="128" t="s">
        <v>18</v>
      </c>
      <c r="D61" s="128" t="s">
        <v>19</v>
      </c>
    </row>
    <row r="62" spans="1:4">
      <c r="A62" s="128" t="s">
        <v>65</v>
      </c>
      <c r="B62" t="s">
        <v>66</v>
      </c>
      <c r="C62" s="128"/>
      <c r="D62" s="135">
        <f>Submódulo2.1[[#Totals],[Valor]]</f>
        <v>194.055555555556</v>
      </c>
    </row>
    <row r="63" spans="1:4">
      <c r="A63" s="128" t="s">
        <v>78</v>
      </c>
      <c r="B63" t="s">
        <v>79</v>
      </c>
      <c r="C63" s="128"/>
      <c r="D63" s="135">
        <f>Submódulo2.2[[#Totals],[Valor ]]</f>
        <v>438.676444444444</v>
      </c>
    </row>
    <row r="64" spans="1:4">
      <c r="A64" s="128" t="s">
        <v>96</v>
      </c>
      <c r="B64" t="s">
        <v>97</v>
      </c>
      <c r="C64" s="128"/>
      <c r="D64" s="135">
        <f>Submódulo2.3[[#Totals],[Valor]]</f>
        <v>211.2</v>
      </c>
    </row>
    <row r="65" spans="1:4">
      <c r="A65" s="128" t="s">
        <v>58</v>
      </c>
      <c r="C65" s="128"/>
      <c r="D65" s="135">
        <v>843.932</v>
      </c>
    </row>
    <row r="67" spans="1:4">
      <c r="A67" s="110" t="s">
        <v>108</v>
      </c>
      <c r="B67" s="110"/>
      <c r="C67" s="110"/>
      <c r="D67" s="110"/>
    </row>
    <row r="68" spans="1:4">
      <c r="A68" s="128" t="s">
        <v>109</v>
      </c>
      <c r="B68" s="133" t="s">
        <v>110</v>
      </c>
      <c r="C68" s="128" t="s">
        <v>18</v>
      </c>
      <c r="D68" s="128" t="s">
        <v>19</v>
      </c>
    </row>
    <row r="69" spans="1:4">
      <c r="A69" s="128" t="s">
        <v>42</v>
      </c>
      <c r="B69" t="s">
        <v>111</v>
      </c>
      <c r="D69" s="135">
        <f>((Módulo1[[#Totals],[Valor]]+D62+D64)/12)*Servente!G10</f>
        <v>50.715994537037</v>
      </c>
    </row>
    <row r="70" spans="1:4">
      <c r="A70" s="128" t="s">
        <v>45</v>
      </c>
      <c r="B70" t="s">
        <v>112</v>
      </c>
      <c r="D70" s="135">
        <f>(D40/12)*Servente!G10</f>
        <v>3.44662996296296</v>
      </c>
    </row>
    <row r="71" spans="1:4">
      <c r="A71" s="128" t="s">
        <v>48</v>
      </c>
      <c r="B71" t="s">
        <v>113</v>
      </c>
      <c r="D71" s="135">
        <f>D40*50%*Servente!G10</f>
        <v>20.6797797777778</v>
      </c>
    </row>
    <row r="72" spans="1:4">
      <c r="A72" s="128" t="s">
        <v>50</v>
      </c>
      <c r="B72" t="s">
        <v>114</v>
      </c>
      <c r="D72" s="135">
        <f>((Módulo1[[#Totals],[Valor]]+ResumoMódulo2[[#Totals],[Valor]])/12)*Servente!G11</f>
        <v>66.5704923666667</v>
      </c>
    </row>
    <row r="73" spans="1:4">
      <c r="A73" s="128" t="s">
        <v>53</v>
      </c>
      <c r="B73" t="s">
        <v>115</v>
      </c>
      <c r="D73" s="135">
        <f>D40*50%*Servente!G11</f>
        <v>20.6797797777778</v>
      </c>
    </row>
    <row r="74" spans="1:4">
      <c r="A74" s="128" t="s">
        <v>55</v>
      </c>
      <c r="B74" t="s">
        <v>116</v>
      </c>
      <c r="D74" s="135">
        <f>-D62*Servente!G12</f>
        <v>-4.23041111111111</v>
      </c>
    </row>
    <row r="75" spans="1:4">
      <c r="A75" s="128" t="s">
        <v>58</v>
      </c>
      <c r="D75" s="135">
        <f>SUBTOTAL(109,Módulo3[Valor])</f>
        <v>157.862265311111</v>
      </c>
    </row>
    <row r="76" spans="1:4">
      <c r="A76" s="128"/>
      <c r="D76" s="135"/>
    </row>
    <row r="77" spans="1:4">
      <c r="A77" s="127" t="s">
        <v>117</v>
      </c>
      <c r="B77" s="127"/>
      <c r="C77" s="127"/>
      <c r="D77" s="127"/>
    </row>
    <row r="78" spans="1:4">
      <c r="A78" s="127" t="s">
        <v>16</v>
      </c>
      <c r="B78" s="127" t="s">
        <v>70</v>
      </c>
      <c r="C78" s="127" t="s">
        <v>71</v>
      </c>
      <c r="D78" s="127" t="s">
        <v>72</v>
      </c>
    </row>
    <row r="79" ht="60" spans="1:4">
      <c r="A79" s="147" t="s">
        <v>42</v>
      </c>
      <c r="B79" s="203" t="s">
        <v>111</v>
      </c>
      <c r="C79" s="204" t="s">
        <v>118</v>
      </c>
      <c r="D79" s="204" t="s">
        <v>119</v>
      </c>
    </row>
    <row r="80" ht="60" spans="1:4">
      <c r="A80" s="147" t="s">
        <v>45</v>
      </c>
      <c r="B80" s="205" t="s">
        <v>112</v>
      </c>
      <c r="C80" s="204" t="s">
        <v>120</v>
      </c>
      <c r="D80" s="204" t="s">
        <v>119</v>
      </c>
    </row>
    <row r="81" ht="75" spans="1:4">
      <c r="A81" s="147" t="s">
        <v>48</v>
      </c>
      <c r="B81" s="205" t="s">
        <v>113</v>
      </c>
      <c r="C81" s="204" t="s">
        <v>120</v>
      </c>
      <c r="D81" s="206" t="s">
        <v>121</v>
      </c>
    </row>
    <row r="82" ht="60" spans="1:4">
      <c r="A82" s="147" t="s">
        <v>50</v>
      </c>
      <c r="B82" s="148" t="s">
        <v>114</v>
      </c>
      <c r="C82" s="204" t="s">
        <v>122</v>
      </c>
      <c r="D82" s="206" t="s">
        <v>123</v>
      </c>
    </row>
    <row r="83" ht="75" spans="1:4">
      <c r="A83" s="147" t="s">
        <v>53</v>
      </c>
      <c r="B83" s="148" t="s">
        <v>115</v>
      </c>
      <c r="C83" s="204" t="s">
        <v>120</v>
      </c>
      <c r="D83" s="206" t="s">
        <v>124</v>
      </c>
    </row>
    <row r="84" ht="60" spans="1:4">
      <c r="A84" s="147" t="s">
        <v>55</v>
      </c>
      <c r="B84" s="148" t="s">
        <v>116</v>
      </c>
      <c r="C84" s="204" t="s">
        <v>125</v>
      </c>
      <c r="D84" s="206" t="s">
        <v>126</v>
      </c>
    </row>
    <row r="86" customHeight="1" spans="1:4">
      <c r="A86" s="156" t="s">
        <v>127</v>
      </c>
      <c r="B86" s="156"/>
      <c r="C86" s="156"/>
      <c r="D86" s="156"/>
    </row>
    <row r="87" spans="1:4">
      <c r="A87" s="126" t="s">
        <v>128</v>
      </c>
      <c r="B87" s="126"/>
      <c r="C87" s="126"/>
      <c r="D87" s="126"/>
    </row>
    <row r="88" spans="1:4">
      <c r="A88" s="128" t="s">
        <v>129</v>
      </c>
      <c r="B88" s="133" t="s">
        <v>130</v>
      </c>
      <c r="C88" s="128" t="s">
        <v>131</v>
      </c>
      <c r="D88" s="128" t="s">
        <v>19</v>
      </c>
    </row>
    <row r="89" spans="1:4">
      <c r="A89" s="128" t="s">
        <v>42</v>
      </c>
      <c r="B89" t="s">
        <v>132</v>
      </c>
      <c r="C89" s="128">
        <v>20.71</v>
      </c>
      <c r="D89" s="135">
        <f>(((Módulo1[[#Totals],[Valor]]+ResumoMódulo2[[#Totals],[Valor]]+Módulo3[[#Totals],[Valor]])/30)*C89)/12</f>
        <v>115.043720096092</v>
      </c>
    </row>
    <row r="90" spans="1:4">
      <c r="A90" s="128" t="s">
        <v>45</v>
      </c>
      <c r="B90" t="s">
        <v>133</v>
      </c>
      <c r="C90" s="128">
        <v>1.4181</v>
      </c>
      <c r="D90" s="135">
        <f>(((Módulo1[[#Totals],[Valor]]+ResumoMódulo2[[#Totals],[Valor]]+Módulo3[[#Totals],[Valor]])/30)*C90)/12</f>
        <v>7.87752291010468</v>
      </c>
    </row>
    <row r="91" spans="1:4">
      <c r="A91" s="128" t="s">
        <v>48</v>
      </c>
      <c r="B91" t="s">
        <v>134</v>
      </c>
      <c r="C91" s="128">
        <v>0.1898</v>
      </c>
      <c r="D91" s="135">
        <f>(((Módulo1[[#Totals],[Valor]]+ResumoMódulo2[[#Totals],[Valor]]+Módulo3[[#Totals],[Valor]])/30)*C91)/12</f>
        <v>1.05433597654458</v>
      </c>
    </row>
    <row r="92" spans="1:4">
      <c r="A92" s="128" t="s">
        <v>50</v>
      </c>
      <c r="B92" t="s">
        <v>135</v>
      </c>
      <c r="C92" s="128">
        <v>0.9545</v>
      </c>
      <c r="D92" s="135">
        <f>(((Módulo1[[#Totals],[Valor]]+ResumoMódulo2[[#Totals],[Valor]]+Módulo3[[#Totals],[Valor]])/30)*C92)/12</f>
        <v>5.3022322951096</v>
      </c>
    </row>
    <row r="93" spans="1:4">
      <c r="A93" s="128" t="s">
        <v>53</v>
      </c>
      <c r="B93" t="s">
        <v>136</v>
      </c>
      <c r="C93" s="128">
        <v>2.4723</v>
      </c>
      <c r="D93" s="135">
        <f>(((Módulo1[[#Totals],[Valor]]+ResumoMódulo2[[#Totals],[Valor]]+Módulo3[[#Totals],[Valor]])/30)*C93)/12</f>
        <v>13.7335871170241</v>
      </c>
    </row>
    <row r="94" spans="1:4">
      <c r="A94" s="128" t="s">
        <v>55</v>
      </c>
      <c r="B94" t="s">
        <v>137</v>
      </c>
      <c r="C94" s="128">
        <v>3.4521</v>
      </c>
      <c r="D94" s="135">
        <f>(((Módulo1[[#Totals],[Valor]]+ResumoMódulo2[[#Totals],[Valor]]+Módulo3[[#Totals],[Valor]])/30)*C94)/12</f>
        <v>19.1763605091125</v>
      </c>
    </row>
    <row r="95" spans="1:4">
      <c r="A95" s="128" t="s">
        <v>58</v>
      </c>
      <c r="C95" s="128">
        <f>SUBTOTAL(109,Submódulo4.1[Dias de ausência])</f>
        <v>29.1968</v>
      </c>
      <c r="D95" s="135">
        <f>SUBTOTAL(109,Submódulo4.1[Valor])</f>
        <v>162.187758903987</v>
      </c>
    </row>
    <row r="96" spans="1:4">
      <c r="A96" s="128"/>
      <c r="C96" s="128"/>
      <c r="D96" s="135"/>
    </row>
    <row r="97" spans="1:4">
      <c r="A97" s="127" t="s">
        <v>138</v>
      </c>
      <c r="B97" s="127"/>
      <c r="C97" s="127"/>
      <c r="D97" s="127"/>
    </row>
    <row r="98" spans="1:4">
      <c r="A98" s="127" t="s">
        <v>16</v>
      </c>
      <c r="B98" s="127" t="s">
        <v>70</v>
      </c>
      <c r="C98" s="127" t="s">
        <v>71</v>
      </c>
      <c r="D98" s="127" t="s">
        <v>72</v>
      </c>
    </row>
    <row r="99" spans="1:4">
      <c r="A99" s="147" t="s">
        <v>139</v>
      </c>
      <c r="B99" s="203" t="s">
        <v>140</v>
      </c>
      <c r="C99" s="204"/>
      <c r="D99" s="204"/>
    </row>
    <row r="100" ht="45" spans="1:4">
      <c r="A100" s="147" t="s">
        <v>139</v>
      </c>
      <c r="B100" s="205" t="s">
        <v>141</v>
      </c>
      <c r="C100" s="204" t="s">
        <v>142</v>
      </c>
      <c r="D100" s="204" t="s">
        <v>143</v>
      </c>
    </row>
    <row r="101" spans="1:4">
      <c r="A101" s="128"/>
      <c r="C101" s="128"/>
      <c r="D101" s="135"/>
    </row>
    <row r="102" spans="1:4">
      <c r="A102" s="126" t="s">
        <v>144</v>
      </c>
      <c r="B102" s="126"/>
      <c r="C102" s="126"/>
      <c r="D102" s="126"/>
    </row>
    <row r="103" spans="1:4">
      <c r="A103" s="128" t="s">
        <v>145</v>
      </c>
      <c r="B103" s="133" t="s">
        <v>146</v>
      </c>
      <c r="C103" s="128" t="s">
        <v>18</v>
      </c>
      <c r="D103" s="128" t="s">
        <v>19</v>
      </c>
    </row>
    <row r="104" spans="1:4">
      <c r="A104" s="128" t="s">
        <v>42</v>
      </c>
      <c r="B104" t="s">
        <v>147</v>
      </c>
      <c r="C104" s="128"/>
      <c r="D104" s="135"/>
    </row>
    <row r="105" spans="1:4">
      <c r="A105" s="128" t="s">
        <v>58</v>
      </c>
      <c r="C105" s="128"/>
      <c r="D105" s="135">
        <f>SUBTOTAL(109,Submódulo4.2[Valor])</f>
        <v>0</v>
      </c>
    </row>
    <row r="107" spans="1:4">
      <c r="A107" s="126" t="s">
        <v>148</v>
      </c>
      <c r="B107" s="126"/>
      <c r="C107" s="126"/>
      <c r="D107" s="126"/>
    </row>
    <row r="108" spans="1:4">
      <c r="A108" s="128" t="s">
        <v>149</v>
      </c>
      <c r="B108" s="133" t="s">
        <v>150</v>
      </c>
      <c r="C108" s="128" t="s">
        <v>18</v>
      </c>
      <c r="D108" s="128" t="s">
        <v>19</v>
      </c>
    </row>
    <row r="109" spans="1:4">
      <c r="A109" s="128" t="s">
        <v>129</v>
      </c>
      <c r="B109" t="s">
        <v>130</v>
      </c>
      <c r="D109" s="135">
        <f>Submódulo4.1[[#Totals],[Valor]]</f>
        <v>162.187758903987</v>
      </c>
    </row>
    <row r="110" spans="1:4">
      <c r="A110" s="128" t="s">
        <v>145</v>
      </c>
      <c r="B110" t="s">
        <v>151</v>
      </c>
      <c r="D110" s="135">
        <f>Submódulo4.2[[#Totals],[Valor]]</f>
        <v>0</v>
      </c>
    </row>
    <row r="111" spans="1:4">
      <c r="A111" s="128" t="s">
        <v>58</v>
      </c>
      <c r="D111" s="135">
        <f>SUBTOTAL(109,ResumoMódulo4[Valor])</f>
        <v>162.187758903987</v>
      </c>
    </row>
    <row r="113" spans="1:4">
      <c r="A113" s="110" t="s">
        <v>152</v>
      </c>
      <c r="B113" s="110"/>
      <c r="C113" s="110"/>
      <c r="D113" s="110"/>
    </row>
    <row r="114" spans="1:4">
      <c r="A114" s="128" t="s">
        <v>153</v>
      </c>
      <c r="B114" s="133" t="s">
        <v>154</v>
      </c>
      <c r="C114" s="128" t="s">
        <v>18</v>
      </c>
      <c r="D114" s="128" t="s">
        <v>19</v>
      </c>
    </row>
    <row r="115" spans="1:4">
      <c r="A115" s="128" t="s">
        <v>42</v>
      </c>
      <c r="B115" t="s">
        <v>155</v>
      </c>
      <c r="D115" s="135" t="e">
        <f>#REF!</f>
        <v>#REF!</v>
      </c>
    </row>
    <row r="116" spans="1:4">
      <c r="A116" s="128" t="s">
        <v>45</v>
      </c>
      <c r="B116" t="s">
        <v>156</v>
      </c>
      <c r="D116" s="135" t="e">
        <f>#REF!/#REF!</f>
        <v>#REF!</v>
      </c>
    </row>
    <row r="117" spans="1:4">
      <c r="A117" s="128" t="s">
        <v>48</v>
      </c>
      <c r="B117" t="s">
        <v>157</v>
      </c>
      <c r="D117" s="135" t="e">
        <f>#REF!/#REF!</f>
        <v>#REF!</v>
      </c>
    </row>
    <row r="118" spans="1:4">
      <c r="A118" s="128" t="s">
        <v>50</v>
      </c>
      <c r="B118" t="s">
        <v>158</v>
      </c>
      <c r="D118" s="135"/>
    </row>
    <row r="119" spans="1:4">
      <c r="A119" s="128" t="s">
        <v>58</v>
      </c>
      <c r="D119" s="135" t="e">
        <f>SUBTOTAL(109,Módulo5[Valor])</f>
        <v>#REF!</v>
      </c>
    </row>
    <row r="120" spans="1:4">
      <c r="A120" s="128"/>
      <c r="D120" s="135"/>
    </row>
    <row r="121" spans="1:4">
      <c r="A121" s="127" t="s">
        <v>159</v>
      </c>
      <c r="B121" s="127"/>
      <c r="C121" s="127"/>
      <c r="D121" s="127"/>
    </row>
    <row r="122" spans="1:4">
      <c r="A122" s="127" t="s">
        <v>16</v>
      </c>
      <c r="B122" s="127" t="s">
        <v>70</v>
      </c>
      <c r="C122" s="127" t="s">
        <v>71</v>
      </c>
      <c r="D122" s="127" t="s">
        <v>72</v>
      </c>
    </row>
    <row r="123" spans="1:4">
      <c r="A123" s="147" t="s">
        <v>42</v>
      </c>
      <c r="B123" s="203" t="s">
        <v>155</v>
      </c>
      <c r="C123" s="204" t="s">
        <v>160</v>
      </c>
      <c r="D123" s="204"/>
    </row>
    <row r="124" ht="30" spans="1:4">
      <c r="A124" s="147" t="s">
        <v>45</v>
      </c>
      <c r="B124" s="205" t="s">
        <v>156</v>
      </c>
      <c r="C124" s="204" t="s">
        <v>161</v>
      </c>
      <c r="D124" s="204" t="s">
        <v>162</v>
      </c>
    </row>
    <row r="125" ht="30" spans="1:4">
      <c r="A125" s="147" t="s">
        <v>48</v>
      </c>
      <c r="B125" s="205" t="s">
        <v>157</v>
      </c>
      <c r="C125" s="204" t="s">
        <v>163</v>
      </c>
      <c r="D125" s="204" t="s">
        <v>162</v>
      </c>
    </row>
    <row r="126" spans="1:4">
      <c r="A126" s="147" t="s">
        <v>50</v>
      </c>
      <c r="B126" s="205" t="s">
        <v>158</v>
      </c>
      <c r="C126" s="204"/>
      <c r="D126" s="204"/>
    </row>
    <row r="128" spans="1:4">
      <c r="A128" s="110" t="s">
        <v>164</v>
      </c>
      <c r="B128" s="110"/>
      <c r="C128" s="110"/>
      <c r="D128" s="110"/>
    </row>
    <row r="129" outlineLevel="1" spans="1:4">
      <c r="A129" s="128" t="s">
        <v>165</v>
      </c>
      <c r="B129" t="s">
        <v>166</v>
      </c>
      <c r="C129" s="128" t="s">
        <v>38</v>
      </c>
      <c r="D129" s="128" t="s">
        <v>19</v>
      </c>
    </row>
    <row r="130" outlineLevel="1" spans="1:4">
      <c r="A130" s="128" t="s">
        <v>42</v>
      </c>
      <c r="B130" t="s">
        <v>167</v>
      </c>
      <c r="C130" s="137">
        <f>G16</f>
        <v>0.0471</v>
      </c>
      <c r="D130" s="135" t="e">
        <f>Módulo6[[#This Row],[Percentual]]*(D141+D142+D143+D144+D145)</f>
        <v>#REF!</v>
      </c>
    </row>
    <row r="131" outlineLevel="1" spans="1:4">
      <c r="A131" s="128" t="s">
        <v>45</v>
      </c>
      <c r="B131" t="s">
        <v>59</v>
      </c>
      <c r="C131" s="137">
        <f>G17</f>
        <v>0.0467</v>
      </c>
      <c r="D131" s="135" t="e">
        <f>(SUM(D141:D145)+D130)*Módulo6[[#This Row],[Percentual]]</f>
        <v>#REF!</v>
      </c>
    </row>
    <row r="132" spans="1:4">
      <c r="A132" s="128" t="s">
        <v>48</v>
      </c>
      <c r="B132" t="s">
        <v>168</v>
      </c>
      <c r="C132" s="137">
        <f>SUM(C133:C135)</f>
        <v>0.1425</v>
      </c>
      <c r="D132" s="135" t="e">
        <f>Módulo6[[#This Row],[Percentual]]*D148</f>
        <v>#REF!</v>
      </c>
    </row>
    <row r="133" spans="1:4">
      <c r="A133" s="128" t="s">
        <v>169</v>
      </c>
      <c r="B133" t="s">
        <v>60</v>
      </c>
      <c r="C133" s="137">
        <f>G18</f>
        <v>0.0165</v>
      </c>
      <c r="D133" s="135" t="e">
        <f>Módulo6[[#This Row],[Percentual]]*D148</f>
        <v>#REF!</v>
      </c>
    </row>
    <row r="134" spans="1:4">
      <c r="A134" s="128" t="s">
        <v>170</v>
      </c>
      <c r="B134" t="s">
        <v>62</v>
      </c>
      <c r="C134" s="137">
        <f>G19</f>
        <v>0.076</v>
      </c>
      <c r="D134" s="135" t="e">
        <f>Módulo6[[#This Row],[Percentual]]*D148</f>
        <v>#REF!</v>
      </c>
    </row>
    <row r="135" spans="1:4">
      <c r="A135" s="128" t="s">
        <v>171</v>
      </c>
      <c r="B135" t="s">
        <v>64</v>
      </c>
      <c r="C135" s="137">
        <f>G20</f>
        <v>0.05</v>
      </c>
      <c r="D135" s="135" t="e">
        <f>Módulo6[[#This Row],[Percentual]]*D148</f>
        <v>#REF!</v>
      </c>
    </row>
    <row r="136" spans="1:4">
      <c r="A136" s="128" t="s">
        <v>58</v>
      </c>
      <c r="C136" s="173"/>
      <c r="D136" s="135" t="e">
        <f>SUM(D130:D132)</f>
        <v>#REF!</v>
      </c>
    </row>
    <row r="137" spans="1:4">
      <c r="A137" s="128"/>
      <c r="C137" s="173"/>
      <c r="D137" s="135"/>
    </row>
    <row r="139" spans="1:4">
      <c r="A139" s="110" t="s">
        <v>172</v>
      </c>
      <c r="B139" s="110"/>
      <c r="C139" s="110"/>
      <c r="D139" s="110"/>
    </row>
    <row r="140" spans="1:4">
      <c r="A140" s="128" t="s">
        <v>16</v>
      </c>
      <c r="B140" s="128" t="s">
        <v>173</v>
      </c>
      <c r="C140" s="128" t="s">
        <v>102</v>
      </c>
      <c r="D140" s="128" t="s">
        <v>19</v>
      </c>
    </row>
    <row r="141" spans="1:4">
      <c r="A141" s="128" t="s">
        <v>42</v>
      </c>
      <c r="B141" t="s">
        <v>36</v>
      </c>
      <c r="D141" s="135">
        <f>Módulo1[[#Totals],[Valor]]</f>
        <v>998</v>
      </c>
    </row>
    <row r="142" spans="1:4">
      <c r="A142" s="128" t="s">
        <v>45</v>
      </c>
      <c r="B142" t="s">
        <v>61</v>
      </c>
      <c r="D142" s="135">
        <f>ResumoMódulo2[[#Totals],[Valor]]</f>
        <v>843.932</v>
      </c>
    </row>
    <row r="143" spans="1:4">
      <c r="A143" s="128" t="s">
        <v>48</v>
      </c>
      <c r="B143" t="s">
        <v>108</v>
      </c>
      <c r="D143" s="135">
        <f>Módulo3[[#Totals],[Valor]]</f>
        <v>157.862265311111</v>
      </c>
    </row>
    <row r="144" spans="1:4">
      <c r="A144" s="128" t="s">
        <v>50</v>
      </c>
      <c r="B144" t="s">
        <v>174</v>
      </c>
      <c r="D144" s="135">
        <f>ResumoMódulo4[[#Totals],[Valor]]</f>
        <v>162.187758903987</v>
      </c>
    </row>
    <row r="145" spans="1:4">
      <c r="A145" s="128" t="s">
        <v>53</v>
      </c>
      <c r="B145" t="s">
        <v>152</v>
      </c>
      <c r="D145" s="135" t="e">
        <f>Módulo5[[#Totals],[Valor]]</f>
        <v>#REF!</v>
      </c>
    </row>
    <row r="146" spans="1:4">
      <c r="A146" t="s">
        <v>175</v>
      </c>
      <c r="D146" s="135" t="e">
        <f>SUM(D141:D145)</f>
        <v>#REF!</v>
      </c>
    </row>
    <row r="147" spans="1:4">
      <c r="A147" s="128" t="s">
        <v>55</v>
      </c>
      <c r="B147" t="s">
        <v>164</v>
      </c>
      <c r="D147" s="135" t="e">
        <f>Módulo6[[#Totals],[Valor]]</f>
        <v>#REF!</v>
      </c>
    </row>
    <row r="148" spans="1:4">
      <c r="A148" s="175" t="s">
        <v>176</v>
      </c>
      <c r="B148" s="175"/>
      <c r="C148" s="175"/>
      <c r="D148" s="207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A14" sqref="A14:B14"/>
    </sheetView>
  </sheetViews>
  <sheetFormatPr defaultColWidth="9.14285714285714" defaultRowHeight="15" outlineLevelCol="6"/>
  <cols>
    <col min="1" max="1" width="12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103" t="s">
        <v>177</v>
      </c>
      <c r="B2" s="103"/>
      <c r="C2" s="103"/>
      <c r="D2" s="103"/>
    </row>
    <row r="3" ht="15.75" spans="1:4">
      <c r="A3" s="104" t="s">
        <v>178</v>
      </c>
      <c r="B3" s="104"/>
      <c r="C3" s="104"/>
      <c r="D3" s="104"/>
    </row>
    <row r="4" spans="1:4">
      <c r="A4" s="105" t="s">
        <v>179</v>
      </c>
      <c r="B4" s="106" t="s">
        <v>180</v>
      </c>
      <c r="C4" s="107"/>
      <c r="D4" s="107"/>
    </row>
    <row r="5" spans="1:4">
      <c r="A5" s="108"/>
      <c r="B5" s="109"/>
      <c r="C5" s="109"/>
      <c r="D5" s="109"/>
    </row>
    <row r="6" ht="15.75" spans="1:4">
      <c r="A6" s="110" t="s">
        <v>181</v>
      </c>
      <c r="B6" s="110"/>
      <c r="C6" s="110"/>
      <c r="D6" s="110"/>
    </row>
    <row r="7" ht="15.75" spans="1:4">
      <c r="A7" s="111" t="s">
        <v>42</v>
      </c>
      <c r="B7" s="112" t="s">
        <v>182</v>
      </c>
      <c r="C7" s="113" t="s">
        <v>183</v>
      </c>
      <c r="D7" s="113"/>
    </row>
    <row r="8" spans="1:4">
      <c r="A8" s="114" t="s">
        <v>45</v>
      </c>
      <c r="B8" s="115" t="s">
        <v>184</v>
      </c>
      <c r="C8" s="116" t="s">
        <v>185</v>
      </c>
      <c r="D8" s="116"/>
    </row>
    <row r="9" spans="1:4">
      <c r="A9" s="117" t="s">
        <v>48</v>
      </c>
      <c r="B9" s="118" t="s">
        <v>186</v>
      </c>
      <c r="C9" s="116" t="s">
        <v>187</v>
      </c>
      <c r="D9" s="116"/>
    </row>
    <row r="10" spans="1:4">
      <c r="A10" s="114" t="s">
        <v>53</v>
      </c>
      <c r="B10" s="115" t="s">
        <v>188</v>
      </c>
      <c r="C10" s="116" t="s">
        <v>189</v>
      </c>
      <c r="D10" s="116"/>
    </row>
    <row r="11" ht="15.75" spans="1:4">
      <c r="A11" s="119" t="s">
        <v>190</v>
      </c>
      <c r="B11" s="119"/>
      <c r="C11" s="119"/>
      <c r="D11" s="119"/>
    </row>
    <row r="12" ht="16.5" spans="1:4">
      <c r="A12" s="120" t="s">
        <v>191</v>
      </c>
      <c r="B12" s="120"/>
      <c r="C12" s="119" t="s">
        <v>192</v>
      </c>
      <c r="D12" s="121" t="s">
        <v>193</v>
      </c>
    </row>
    <row r="13" spans="1:4">
      <c r="A13" s="122" t="s">
        <v>194</v>
      </c>
      <c r="B13" s="122"/>
      <c r="C13" s="116" t="s">
        <v>195</v>
      </c>
      <c r="D13" s="123">
        <f>RESUMO!D3</f>
        <v>30</v>
      </c>
    </row>
    <row r="14" spans="1:4">
      <c r="A14" s="124"/>
      <c r="B14" s="124"/>
      <c r="C14" s="116"/>
      <c r="D14" s="125"/>
    </row>
    <row r="15" ht="15.75" spans="1:7">
      <c r="A15" s="119" t="s">
        <v>14</v>
      </c>
      <c r="B15" s="119"/>
      <c r="C15" s="119"/>
      <c r="D15" s="119"/>
      <c r="F15" s="126"/>
      <c r="G15" s="126"/>
    </row>
    <row r="16" ht="15.75" spans="1:4">
      <c r="A16" s="128" t="s">
        <v>16</v>
      </c>
      <c r="B16" t="s">
        <v>17</v>
      </c>
      <c r="C16" s="128" t="s">
        <v>18</v>
      </c>
      <c r="D16" s="128" t="s">
        <v>19</v>
      </c>
    </row>
    <row r="17" spans="1:4">
      <c r="A17" s="128">
        <v>1</v>
      </c>
      <c r="B17" t="s">
        <v>20</v>
      </c>
      <c r="C17" s="129" t="s">
        <v>102</v>
      </c>
      <c r="D17" s="129" t="str">
        <f>A13</f>
        <v>Recepcionista Secretário(a)</v>
      </c>
    </row>
    <row r="18" spans="1:4">
      <c r="A18" s="128">
        <v>2</v>
      </c>
      <c r="B18" t="s">
        <v>23</v>
      </c>
      <c r="C18" s="129" t="s">
        <v>196</v>
      </c>
      <c r="D18" s="129" t="s">
        <v>197</v>
      </c>
    </row>
    <row r="19" spans="1:4">
      <c r="A19" s="128">
        <v>3</v>
      </c>
      <c r="B19" t="s">
        <v>26</v>
      </c>
      <c r="C19" s="129" t="str">
        <f>C9</f>
        <v>CCT PB000517/2021</v>
      </c>
      <c r="D19" s="130">
        <v>1263.25</v>
      </c>
    </row>
    <row r="20" spans="1:4">
      <c r="A20" s="128">
        <v>4</v>
      </c>
      <c r="B20" t="s">
        <v>29</v>
      </c>
      <c r="C20" s="129" t="str">
        <f>C9</f>
        <v>CCT PB000517/2021</v>
      </c>
      <c r="D20" s="131" t="s">
        <v>198</v>
      </c>
    </row>
    <row r="21" spans="1:4">
      <c r="A21" s="128">
        <v>5</v>
      </c>
      <c r="B21" t="s">
        <v>33</v>
      </c>
      <c r="C21" s="129" t="str">
        <f>C9</f>
        <v>CCT PB000517/2021</v>
      </c>
      <c r="D21" s="132" t="s">
        <v>199</v>
      </c>
    </row>
    <row r="22" spans="6:7">
      <c r="F22" s="126"/>
      <c r="G22" s="126"/>
    </row>
    <row r="23" spans="1:4">
      <c r="A23" s="110" t="s">
        <v>36</v>
      </c>
      <c r="B23" s="110"/>
      <c r="C23" s="110"/>
      <c r="D23" s="110"/>
    </row>
    <row r="24" spans="1:7">
      <c r="A24" s="128" t="s">
        <v>39</v>
      </c>
      <c r="B24" s="133" t="s">
        <v>40</v>
      </c>
      <c r="C24" s="128" t="s">
        <v>18</v>
      </c>
      <c r="D24" s="128" t="s">
        <v>19</v>
      </c>
      <c r="G24" s="179"/>
    </row>
    <row r="25" spans="1:7">
      <c r="A25" s="128" t="s">
        <v>42</v>
      </c>
      <c r="B25" t="s">
        <v>43</v>
      </c>
      <c r="C25" s="131" t="s">
        <v>200</v>
      </c>
      <c r="D25" s="130">
        <f>D19</f>
        <v>1263.25</v>
      </c>
      <c r="G25" s="179"/>
    </row>
    <row r="26" spans="1:7">
      <c r="A26" s="128" t="s">
        <v>45</v>
      </c>
      <c r="B26" t="s">
        <v>46</v>
      </c>
      <c r="C26" s="131"/>
      <c r="D26" s="130">
        <v>0</v>
      </c>
      <c r="G26" s="179"/>
    </row>
    <row r="27" spans="1:4">
      <c r="A27" s="128" t="s">
        <v>48</v>
      </c>
      <c r="B27" t="s">
        <v>49</v>
      </c>
      <c r="C27" s="131"/>
      <c r="D27" s="130">
        <v>0</v>
      </c>
    </row>
    <row r="28" spans="1:4">
      <c r="A28" s="128" t="s">
        <v>50</v>
      </c>
      <c r="B28" t="s">
        <v>51</v>
      </c>
      <c r="C28" s="131"/>
      <c r="D28" s="130">
        <v>0</v>
      </c>
    </row>
    <row r="29" spans="1:4">
      <c r="A29" s="128" t="s">
        <v>53</v>
      </c>
      <c r="B29" t="s">
        <v>54</v>
      </c>
      <c r="C29" s="131"/>
      <c r="D29" s="130">
        <v>0</v>
      </c>
    </row>
    <row r="30" spans="1:4">
      <c r="A30" s="128" t="s">
        <v>55</v>
      </c>
      <c r="B30" t="s">
        <v>56</v>
      </c>
      <c r="C30" s="131"/>
      <c r="D30" s="130">
        <v>0</v>
      </c>
    </row>
    <row r="31" spans="1:7">
      <c r="A31" s="128" t="s">
        <v>58</v>
      </c>
      <c r="C31" s="128"/>
      <c r="D31" s="135">
        <f>TRUNC((SUM(D25:D30)),2)</f>
        <v>1263.25</v>
      </c>
      <c r="F31" s="126"/>
      <c r="G31" s="126"/>
    </row>
    <row r="33" spans="1:7">
      <c r="A33" s="136" t="s">
        <v>61</v>
      </c>
      <c r="B33" s="136"/>
      <c r="C33" s="136"/>
      <c r="D33" s="136"/>
      <c r="G33" s="179"/>
    </row>
    <row r="35" spans="1:4">
      <c r="A35" s="126" t="s">
        <v>63</v>
      </c>
      <c r="B35" s="126"/>
      <c r="C35" s="126"/>
      <c r="D35" s="126"/>
    </row>
    <row r="36" spans="1:4">
      <c r="A36" s="128" t="s">
        <v>65</v>
      </c>
      <c r="B36" s="133" t="s">
        <v>66</v>
      </c>
      <c r="C36" s="128" t="s">
        <v>38</v>
      </c>
      <c r="D36" s="128" t="s">
        <v>19</v>
      </c>
    </row>
    <row r="37" spans="1:7">
      <c r="A37" s="128" t="s">
        <v>42</v>
      </c>
      <c r="B37" t="s">
        <v>67</v>
      </c>
      <c r="C37" s="137">
        <f>(1/12)</f>
        <v>0.0833333333333333</v>
      </c>
      <c r="D37" s="135">
        <f>TRUNC($D$31*C37,2)</f>
        <v>105.27</v>
      </c>
      <c r="F37" s="138"/>
      <c r="G37" s="138"/>
    </row>
    <row r="38" spans="1:7">
      <c r="A38" s="128" t="s">
        <v>45</v>
      </c>
      <c r="B38" t="s">
        <v>68</v>
      </c>
      <c r="C38" s="137">
        <f>(((1+1/3)/12))</f>
        <v>0.111111111111111</v>
      </c>
      <c r="D38" s="135">
        <f>TRUNC($D$31*C38,2)</f>
        <v>140.36</v>
      </c>
      <c r="F38" s="138"/>
      <c r="G38" s="138"/>
    </row>
    <row r="39" spans="1:7">
      <c r="A39" s="128" t="s">
        <v>58</v>
      </c>
      <c r="D39" s="135">
        <f>TRUNC((SUM(D37:D38)),2)</f>
        <v>245.63</v>
      </c>
      <c r="F39" s="138"/>
      <c r="G39" s="138"/>
    </row>
    <row r="40" ht="15.75" spans="4:7">
      <c r="D40" s="135"/>
      <c r="F40" s="138"/>
      <c r="G40" s="138"/>
    </row>
    <row r="41" ht="16.5" spans="1:7">
      <c r="A41" s="139" t="s">
        <v>201</v>
      </c>
      <c r="B41" s="139"/>
      <c r="C41" s="140" t="s">
        <v>202</v>
      </c>
      <c r="D41" s="141">
        <f>D31</f>
        <v>1263.25</v>
      </c>
      <c r="F41" s="138"/>
      <c r="G41" s="138"/>
    </row>
    <row r="42" ht="16.5" spans="1:7">
      <c r="A42" s="139"/>
      <c r="B42" s="139"/>
      <c r="C42" s="142" t="s">
        <v>203</v>
      </c>
      <c r="D42" s="141">
        <f>D39</f>
        <v>245.63</v>
      </c>
      <c r="F42" s="138"/>
      <c r="G42" s="138"/>
    </row>
    <row r="43" ht="16.5" spans="1:7">
      <c r="A43" s="139"/>
      <c r="B43" s="139"/>
      <c r="C43" s="140" t="s">
        <v>204</v>
      </c>
      <c r="D43" s="143">
        <f>TRUNC((SUM(D41:D42)),2)</f>
        <v>1508.88</v>
      </c>
      <c r="F43" s="138"/>
      <c r="G43" s="138"/>
    </row>
    <row r="44" ht="15.75" spans="1:7">
      <c r="A44" s="128"/>
      <c r="C44" s="144"/>
      <c r="D44" s="135"/>
      <c r="F44" s="138"/>
      <c r="G44" s="138"/>
    </row>
    <row r="45" spans="1:4">
      <c r="A45" s="126" t="s">
        <v>77</v>
      </c>
      <c r="B45" s="126"/>
      <c r="C45" s="126"/>
      <c r="D45" s="126"/>
    </row>
    <row r="46" spans="1:4">
      <c r="A46" s="128" t="s">
        <v>78</v>
      </c>
      <c r="B46" s="133" t="s">
        <v>79</v>
      </c>
      <c r="C46" s="128" t="s">
        <v>38</v>
      </c>
      <c r="D46" s="128" t="s">
        <v>80</v>
      </c>
    </row>
    <row r="47" spans="1:4">
      <c r="A47" s="128" t="s">
        <v>42</v>
      </c>
      <c r="B47" t="s">
        <v>81</v>
      </c>
      <c r="C47" s="137">
        <v>0.2</v>
      </c>
      <c r="D47" s="135">
        <f t="shared" ref="D47:D54" si="0">TRUNC(($D$43*C47),2)</f>
        <v>301.77</v>
      </c>
    </row>
    <row r="48" spans="1:4">
      <c r="A48" s="128" t="s">
        <v>45</v>
      </c>
      <c r="B48" t="s">
        <v>82</v>
      </c>
      <c r="C48" s="137">
        <v>0.025</v>
      </c>
      <c r="D48" s="135">
        <f t="shared" si="0"/>
        <v>37.72</v>
      </c>
    </row>
    <row r="49" spans="1:4">
      <c r="A49" s="128" t="s">
        <v>48</v>
      </c>
      <c r="B49" t="s">
        <v>205</v>
      </c>
      <c r="C49" s="145">
        <v>0.06</v>
      </c>
      <c r="D49" s="130">
        <f t="shared" si="0"/>
        <v>90.53</v>
      </c>
    </row>
    <row r="50" spans="1:4">
      <c r="A50" s="128" t="s">
        <v>50</v>
      </c>
      <c r="B50" t="s">
        <v>84</v>
      </c>
      <c r="C50" s="137">
        <v>0.015</v>
      </c>
      <c r="D50" s="135">
        <f t="shared" si="0"/>
        <v>22.63</v>
      </c>
    </row>
    <row r="51" spans="1:4">
      <c r="A51" s="128" t="s">
        <v>53</v>
      </c>
      <c r="B51" t="s">
        <v>85</v>
      </c>
      <c r="C51" s="137">
        <v>0.01</v>
      </c>
      <c r="D51" s="135">
        <f t="shared" si="0"/>
        <v>15.08</v>
      </c>
    </row>
    <row r="52" spans="1:4">
      <c r="A52" s="128" t="s">
        <v>55</v>
      </c>
      <c r="B52" t="s">
        <v>86</v>
      </c>
      <c r="C52" s="137">
        <v>0.006</v>
      </c>
      <c r="D52" s="135">
        <f t="shared" si="0"/>
        <v>9.05</v>
      </c>
    </row>
    <row r="53" spans="1:4">
      <c r="A53" s="128" t="s">
        <v>87</v>
      </c>
      <c r="B53" t="s">
        <v>88</v>
      </c>
      <c r="C53" s="137">
        <v>0.002</v>
      </c>
      <c r="D53" s="135">
        <f t="shared" si="0"/>
        <v>3.01</v>
      </c>
    </row>
    <row r="54" spans="1:4">
      <c r="A54" s="128" t="s">
        <v>89</v>
      </c>
      <c r="B54" t="s">
        <v>90</v>
      </c>
      <c r="C54" s="137">
        <v>0.08</v>
      </c>
      <c r="D54" s="135">
        <f t="shared" si="0"/>
        <v>120.71</v>
      </c>
    </row>
    <row r="55" spans="1:4">
      <c r="A55" s="128" t="s">
        <v>58</v>
      </c>
      <c r="C55" s="144">
        <f>SUM(C47:C54)</f>
        <v>0.398</v>
      </c>
      <c r="D55" s="135">
        <f>TRUNC(SUM(D47:D54),2)</f>
        <v>600.5</v>
      </c>
    </row>
    <row r="56" spans="1:4">
      <c r="A56" s="128"/>
      <c r="C56" s="144"/>
      <c r="D56" s="135"/>
    </row>
    <row r="57" spans="1:4">
      <c r="A57" s="126" t="s">
        <v>95</v>
      </c>
      <c r="B57" s="126"/>
      <c r="C57" s="126"/>
      <c r="D57" s="126"/>
    </row>
    <row r="58" spans="1:4">
      <c r="A58" s="128" t="s">
        <v>96</v>
      </c>
      <c r="B58" s="133" t="s">
        <v>97</v>
      </c>
      <c r="C58" s="128" t="s">
        <v>18</v>
      </c>
      <c r="D58" s="128" t="s">
        <v>19</v>
      </c>
    </row>
    <row r="59" spans="1:4">
      <c r="A59" s="128" t="s">
        <v>42</v>
      </c>
      <c r="B59" t="s">
        <v>98</v>
      </c>
      <c r="C59" s="129"/>
      <c r="D59" s="146">
        <f>TRUNC(((22*4.4)*2)-((D25/100)*6),2)</f>
        <v>117.8</v>
      </c>
    </row>
    <row r="60" spans="1:4">
      <c r="A60" s="128" t="s">
        <v>45</v>
      </c>
      <c r="B60" t="s">
        <v>99</v>
      </c>
      <c r="C60" s="129" t="str">
        <f>C9</f>
        <v>CCT PB000517/2021</v>
      </c>
      <c r="D60" s="130">
        <f>TRUNC((((460))-(((460))*0.2)),2)</f>
        <v>368</v>
      </c>
    </row>
    <row r="61" spans="1:4">
      <c r="A61" s="128" t="s">
        <v>48</v>
      </c>
      <c r="B61" t="s">
        <v>100</v>
      </c>
      <c r="C61" s="129"/>
      <c r="D61" s="130">
        <v>0</v>
      </c>
    </row>
    <row r="62" spans="1:6">
      <c r="A62" s="147" t="s">
        <v>50</v>
      </c>
      <c r="B62" s="148" t="s">
        <v>206</v>
      </c>
      <c r="C62" s="149"/>
      <c r="D62" s="149">
        <v>0</v>
      </c>
      <c r="F62" s="148"/>
    </row>
    <row r="63" spans="1:4">
      <c r="A63" s="147" t="s">
        <v>53</v>
      </c>
      <c r="B63" s="133" t="s">
        <v>207</v>
      </c>
      <c r="C63" s="129" t="s">
        <v>187</v>
      </c>
      <c r="D63" s="130">
        <v>20</v>
      </c>
    </row>
    <row r="64" spans="1:4">
      <c r="A64" s="147" t="s">
        <v>55</v>
      </c>
      <c r="B64" s="150" t="s">
        <v>208</v>
      </c>
      <c r="C64" s="129" t="s">
        <v>187</v>
      </c>
      <c r="D64" s="130">
        <v>5</v>
      </c>
    </row>
    <row r="65" spans="1:4">
      <c r="A65" s="147" t="s">
        <v>87</v>
      </c>
      <c r="B65" s="150" t="s">
        <v>209</v>
      </c>
      <c r="C65" s="149" t="s">
        <v>187</v>
      </c>
      <c r="D65" s="130">
        <v>40</v>
      </c>
    </row>
    <row r="66" spans="1:4">
      <c r="A66" s="128" t="s">
        <v>58</v>
      </c>
      <c r="D66" s="135">
        <f>TRUNC((SUM(D59:D65)),2)</f>
        <v>550.8</v>
      </c>
    </row>
    <row r="67" spans="1:4">
      <c r="A67" s="128"/>
      <c r="D67" s="135"/>
    </row>
    <row r="68" spans="1:4">
      <c r="A68" s="126" t="s">
        <v>105</v>
      </c>
      <c r="B68" s="126"/>
      <c r="C68" s="126"/>
      <c r="D68" s="126"/>
    </row>
    <row r="69" spans="1:4">
      <c r="A69" s="128" t="s">
        <v>106</v>
      </c>
      <c r="B69" s="133" t="s">
        <v>107</v>
      </c>
      <c r="C69" s="128" t="s">
        <v>18</v>
      </c>
      <c r="D69" s="128" t="s">
        <v>19</v>
      </c>
    </row>
    <row r="70" spans="1:4">
      <c r="A70" s="128" t="s">
        <v>65</v>
      </c>
      <c r="B70" t="s">
        <v>66</v>
      </c>
      <c r="C70" s="128"/>
      <c r="D70" s="135">
        <f>D39</f>
        <v>245.63</v>
      </c>
    </row>
    <row r="71" spans="1:4">
      <c r="A71" s="128" t="s">
        <v>78</v>
      </c>
      <c r="B71" t="s">
        <v>79</v>
      </c>
      <c r="C71" s="128"/>
      <c r="D71" s="135">
        <f>D55</f>
        <v>600.5</v>
      </c>
    </row>
    <row r="72" spans="1:4">
      <c r="A72" s="128" t="s">
        <v>96</v>
      </c>
      <c r="B72" t="s">
        <v>97</v>
      </c>
      <c r="C72" s="128"/>
      <c r="D72" s="135">
        <f>D66</f>
        <v>550.8</v>
      </c>
    </row>
    <row r="73" spans="1:4">
      <c r="A73" s="128" t="s">
        <v>58</v>
      </c>
      <c r="C73" s="128"/>
      <c r="D73" s="135">
        <f>TRUNC((SUM(D70:D72)),2)</f>
        <v>1396.93</v>
      </c>
    </row>
    <row r="75" spans="1:4">
      <c r="A75" s="110" t="s">
        <v>108</v>
      </c>
      <c r="B75" s="110"/>
      <c r="C75" s="110"/>
      <c r="D75" s="110"/>
    </row>
    <row r="76" spans="1:4">
      <c r="A76" s="128" t="s">
        <v>109</v>
      </c>
      <c r="B76" s="133" t="s">
        <v>110</v>
      </c>
      <c r="C76" s="128" t="s">
        <v>38</v>
      </c>
      <c r="D76" s="128" t="s">
        <v>19</v>
      </c>
    </row>
    <row r="77" spans="1:4">
      <c r="A77" s="128" t="s">
        <v>42</v>
      </c>
      <c r="B77" t="s">
        <v>111</v>
      </c>
      <c r="C77" s="145">
        <f>((1/12)*2%)</f>
        <v>0.00166666666666667</v>
      </c>
      <c r="D77" s="130">
        <f>TRUNC(($D$31*C77),2)</f>
        <v>2.1</v>
      </c>
    </row>
    <row r="78" spans="1:4">
      <c r="A78" s="128" t="s">
        <v>45</v>
      </c>
      <c r="B78" t="s">
        <v>112</v>
      </c>
      <c r="C78" s="151">
        <v>0.08</v>
      </c>
      <c r="D78" s="135">
        <f>TRUNC(($D$77*C78),2)</f>
        <v>0.16</v>
      </c>
    </row>
    <row r="79" ht="30" spans="1:4">
      <c r="A79" s="128" t="s">
        <v>48</v>
      </c>
      <c r="B79" s="152" t="s">
        <v>113</v>
      </c>
      <c r="C79" s="153">
        <f>(0.08*0.4*0.02)</f>
        <v>0.00064</v>
      </c>
      <c r="D79" s="149">
        <f>TRUNC(($D$31*C79),2)</f>
        <v>0.8</v>
      </c>
    </row>
    <row r="80" spans="1:4">
      <c r="A80" s="128" t="s">
        <v>50</v>
      </c>
      <c r="B80" t="s">
        <v>114</v>
      </c>
      <c r="C80" s="154">
        <f>(((7/30)/12)*0.98)</f>
        <v>0.0190555555555556</v>
      </c>
      <c r="D80" s="155">
        <f>TRUNC(($D$31*C80),2)</f>
        <v>24.07</v>
      </c>
    </row>
    <row r="81" ht="30" spans="1:4">
      <c r="A81" s="128" t="s">
        <v>53</v>
      </c>
      <c r="B81" s="152" t="s">
        <v>210</v>
      </c>
      <c r="C81" s="153">
        <f>C55</f>
        <v>0.398</v>
      </c>
      <c r="D81" s="149">
        <f>TRUNC(($D$80*C81),2)</f>
        <v>9.57</v>
      </c>
    </row>
    <row r="82" ht="30" spans="1:4">
      <c r="A82" s="128" t="s">
        <v>55</v>
      </c>
      <c r="B82" s="152" t="s">
        <v>115</v>
      </c>
      <c r="C82" s="154">
        <f>(0.08*0.4*0.98)</f>
        <v>0.03136</v>
      </c>
      <c r="D82" s="192">
        <f>TRUNC(($D$31*C82),2)</f>
        <v>39.61</v>
      </c>
    </row>
    <row r="83" spans="1:4">
      <c r="A83" s="128" t="s">
        <v>58</v>
      </c>
      <c r="C83" s="151">
        <f>SUM(C77:C82)</f>
        <v>0.530722222222222</v>
      </c>
      <c r="D83" s="135">
        <f>TRUNC((SUM(D77:D82)),2)</f>
        <v>76.31</v>
      </c>
    </row>
    <row r="84" ht="15.75" spans="1:4">
      <c r="A84" s="128"/>
      <c r="D84" s="135"/>
    </row>
    <row r="85" ht="16.5" spans="1:4">
      <c r="A85" s="139" t="s">
        <v>211</v>
      </c>
      <c r="B85" s="139"/>
      <c r="C85" s="140" t="s">
        <v>202</v>
      </c>
      <c r="D85" s="141">
        <f>D31</f>
        <v>1263.25</v>
      </c>
    </row>
    <row r="86" ht="16.5" spans="1:4">
      <c r="A86" s="139"/>
      <c r="B86" s="139"/>
      <c r="C86" s="142" t="s">
        <v>212</v>
      </c>
      <c r="D86" s="141">
        <f>D73</f>
        <v>1396.93</v>
      </c>
    </row>
    <row r="87" ht="16.5" spans="1:4">
      <c r="A87" s="139"/>
      <c r="B87" s="139"/>
      <c r="C87" s="140" t="s">
        <v>213</v>
      </c>
      <c r="D87" s="141">
        <f>D83</f>
        <v>76.31</v>
      </c>
    </row>
    <row r="88" ht="16.5" spans="1:4">
      <c r="A88" s="139"/>
      <c r="B88" s="139"/>
      <c r="C88" s="142" t="s">
        <v>204</v>
      </c>
      <c r="D88" s="143">
        <f>TRUNC((SUM(D85:D87)),2)</f>
        <v>2736.49</v>
      </c>
    </row>
    <row r="89" ht="15.75" spans="1:4">
      <c r="A89" s="128"/>
      <c r="D89" s="135"/>
    </row>
    <row r="90" spans="1:4">
      <c r="A90" s="156" t="s">
        <v>127</v>
      </c>
      <c r="B90" s="156"/>
      <c r="C90" s="156"/>
      <c r="D90" s="156"/>
    </row>
    <row r="91" spans="1:4">
      <c r="A91" s="126" t="s">
        <v>128</v>
      </c>
      <c r="B91" s="126"/>
      <c r="C91" s="126"/>
      <c r="D91" s="126"/>
    </row>
    <row r="92" spans="1:4">
      <c r="A92" s="128" t="s">
        <v>129</v>
      </c>
      <c r="B92" s="133" t="s">
        <v>130</v>
      </c>
      <c r="C92" s="128" t="s">
        <v>38</v>
      </c>
      <c r="D92" s="128" t="s">
        <v>19</v>
      </c>
    </row>
    <row r="93" spans="1:4">
      <c r="A93" s="128" t="s">
        <v>42</v>
      </c>
      <c r="B93" t="s">
        <v>214</v>
      </c>
      <c r="C93" s="151">
        <f>(((1+1/3)/12)/12)+((1/12)/12)</f>
        <v>0.0162037037037037</v>
      </c>
      <c r="D93" s="135">
        <f>TRUNC(($D$88*C93),2)</f>
        <v>44.34</v>
      </c>
    </row>
    <row r="94" spans="1:4">
      <c r="A94" s="128" t="s">
        <v>45</v>
      </c>
      <c r="B94" t="s">
        <v>133</v>
      </c>
      <c r="C94" s="145">
        <f>((5/30)/12)</f>
        <v>0.0138888888888889</v>
      </c>
      <c r="D94" s="149">
        <f t="shared" ref="D93:D97" si="1">TRUNC(($D$88*C94),2)</f>
        <v>38</v>
      </c>
    </row>
    <row r="95" spans="1:4">
      <c r="A95" s="128" t="s">
        <v>48</v>
      </c>
      <c r="B95" t="s">
        <v>134</v>
      </c>
      <c r="C95" s="145">
        <f>((5/30)/12)*0.02</f>
        <v>0.000277777777777778</v>
      </c>
      <c r="D95" s="149">
        <f t="shared" si="1"/>
        <v>0.76</v>
      </c>
    </row>
    <row r="96" ht="30" spans="1:4">
      <c r="A96" s="147" t="s">
        <v>50</v>
      </c>
      <c r="B96" s="152" t="s">
        <v>135</v>
      </c>
      <c r="C96" s="153">
        <f>((15/30)/12)*0.08</f>
        <v>0.00333333333333333</v>
      </c>
      <c r="D96" s="149">
        <f t="shared" si="1"/>
        <v>9.12</v>
      </c>
    </row>
    <row r="97" spans="1:4">
      <c r="A97" s="128" t="s">
        <v>53</v>
      </c>
      <c r="B97" t="s">
        <v>136</v>
      </c>
      <c r="C97" s="145">
        <f>((1+1/3)/12)*0.03*((4/12))</f>
        <v>0.00111111111111111</v>
      </c>
      <c r="D97" s="149">
        <f t="shared" si="1"/>
        <v>3.04</v>
      </c>
    </row>
    <row r="98" ht="30" spans="1:4">
      <c r="A98" s="128" t="s">
        <v>55</v>
      </c>
      <c r="B98" s="152" t="s">
        <v>215</v>
      </c>
      <c r="C98" s="157">
        <v>0</v>
      </c>
      <c r="D98" s="149">
        <f>TRUNC($D$88*C98)</f>
        <v>0</v>
      </c>
    </row>
    <row r="99" spans="1:4">
      <c r="A99" s="128" t="s">
        <v>58</v>
      </c>
      <c r="C99" s="151">
        <f>SUM(C93:C98)</f>
        <v>0.0348148148148148</v>
      </c>
      <c r="D99" s="135">
        <f>TRUNC((SUM(D93:D98)),2)</f>
        <v>95.26</v>
      </c>
    </row>
    <row r="100" spans="1:4">
      <c r="A100" s="128"/>
      <c r="C100" s="128"/>
      <c r="D100" s="135"/>
    </row>
    <row r="101" spans="1:4">
      <c r="A101" s="126" t="s">
        <v>144</v>
      </c>
      <c r="B101" s="126"/>
      <c r="C101" s="126"/>
      <c r="D101" s="126"/>
    </row>
    <row r="102" spans="1:4">
      <c r="A102" s="128" t="s">
        <v>145</v>
      </c>
      <c r="B102" s="133" t="s">
        <v>146</v>
      </c>
      <c r="C102" s="128" t="s">
        <v>18</v>
      </c>
      <c r="D102" s="128" t="s">
        <v>19</v>
      </c>
    </row>
    <row r="103" ht="105" spans="1:4">
      <c r="A103" s="147" t="s">
        <v>42</v>
      </c>
      <c r="B103" s="158" t="s">
        <v>147</v>
      </c>
      <c r="C103" s="159" t="s">
        <v>216</v>
      </c>
      <c r="D103" s="160" t="s">
        <v>217</v>
      </c>
    </row>
    <row r="104" spans="1:4">
      <c r="A104" s="128" t="s">
        <v>58</v>
      </c>
      <c r="C104" s="161"/>
      <c r="D104" s="162" t="str">
        <f>D103</f>
        <v>*=TRUNCAR(($D$86/220)*(1*(365/12))/2)</v>
      </c>
    </row>
    <row r="106" spans="1:4">
      <c r="A106" s="126" t="s">
        <v>148</v>
      </c>
      <c r="B106" s="126"/>
      <c r="C106" s="126"/>
      <c r="D106" s="126"/>
    </row>
    <row r="107" spans="1:4">
      <c r="A107" s="128" t="s">
        <v>149</v>
      </c>
      <c r="B107" s="133" t="s">
        <v>150</v>
      </c>
      <c r="C107" s="128" t="s">
        <v>18</v>
      </c>
      <c r="D107" s="128" t="s">
        <v>19</v>
      </c>
    </row>
    <row r="108" spans="1:4">
      <c r="A108" s="128" t="s">
        <v>129</v>
      </c>
      <c r="B108" t="s">
        <v>130</v>
      </c>
      <c r="D108" s="130">
        <f>D99</f>
        <v>95.26</v>
      </c>
    </row>
    <row r="109" spans="1:4">
      <c r="A109" s="128" t="s">
        <v>145</v>
      </c>
      <c r="B109" t="s">
        <v>151</v>
      </c>
      <c r="C109" s="133"/>
      <c r="D109" s="163" t="str">
        <f>Submódulo4.260_55107[[#Totals],[Valor]]</f>
        <v>*=TRUNCAR(($D$86/220)*(1*(365/12))/2)</v>
      </c>
    </row>
    <row r="110" ht="75" spans="1:4">
      <c r="A110" s="147" t="s">
        <v>58</v>
      </c>
      <c r="B110" s="148"/>
      <c r="C110" s="159" t="s">
        <v>218</v>
      </c>
      <c r="D110" s="164">
        <f>TRUNC((SUM(D108:D109)),2)</f>
        <v>95.26</v>
      </c>
    </row>
    <row r="112" ht="37" customHeight="1" spans="1:4">
      <c r="A112" s="110" t="s">
        <v>152</v>
      </c>
      <c r="B112" s="110"/>
      <c r="C112" s="110"/>
      <c r="D112" s="110"/>
    </row>
    <row r="113" spans="1:4">
      <c r="A113" s="147" t="s">
        <v>153</v>
      </c>
      <c r="B113" s="148" t="s">
        <v>154</v>
      </c>
      <c r="C113" s="147" t="s">
        <v>18</v>
      </c>
      <c r="D113" s="147" t="s">
        <v>19</v>
      </c>
    </row>
    <row r="114" spans="1:4">
      <c r="A114" s="128" t="s">
        <v>42</v>
      </c>
      <c r="B114" t="s">
        <v>219</v>
      </c>
      <c r="D114" s="165">
        <f>Uniformes!G27</f>
        <v>75.51</v>
      </c>
    </row>
    <row r="115" spans="1:4">
      <c r="A115" s="128" t="s">
        <v>45</v>
      </c>
      <c r="B115" t="s">
        <v>220</v>
      </c>
      <c r="D115" s="165">
        <v>0</v>
      </c>
    </row>
    <row r="116" spans="1:4">
      <c r="A116" s="128" t="s">
        <v>48</v>
      </c>
      <c r="B116" t="s">
        <v>156</v>
      </c>
      <c r="D116" s="165">
        <v>0</v>
      </c>
    </row>
    <row r="117" spans="1:4">
      <c r="A117" s="128" t="s">
        <v>50</v>
      </c>
      <c r="B117" t="s">
        <v>157</v>
      </c>
      <c r="D117" s="165">
        <v>0</v>
      </c>
    </row>
    <row r="118" spans="1:4">
      <c r="A118" s="128" t="s">
        <v>53</v>
      </c>
      <c r="B118" t="s">
        <v>221</v>
      </c>
      <c r="C118" s="128"/>
      <c r="D118" s="165">
        <v>0</v>
      </c>
    </row>
    <row r="119" spans="1:4">
      <c r="A119" s="128" t="s">
        <v>58</v>
      </c>
      <c r="D119" s="166">
        <f>TRUNC(SUM(D114:D118),2)</f>
        <v>75.51</v>
      </c>
    </row>
    <row r="120" ht="15.75"/>
    <row r="121" ht="16.5" spans="1:4">
      <c r="A121" s="139" t="s">
        <v>222</v>
      </c>
      <c r="B121" s="139"/>
      <c r="C121" s="140" t="s">
        <v>202</v>
      </c>
      <c r="D121" s="141">
        <f>D31</f>
        <v>1263.25</v>
      </c>
    </row>
    <row r="122" ht="16.5" spans="1:4">
      <c r="A122" s="139"/>
      <c r="B122" s="139"/>
      <c r="C122" s="142" t="s">
        <v>212</v>
      </c>
      <c r="D122" s="141">
        <f>D73</f>
        <v>1396.93</v>
      </c>
    </row>
    <row r="123" ht="16.5" spans="1:4">
      <c r="A123" s="139"/>
      <c r="B123" s="139"/>
      <c r="C123" s="140" t="s">
        <v>213</v>
      </c>
      <c r="D123" s="141">
        <f>D83</f>
        <v>76.31</v>
      </c>
    </row>
    <row r="124" ht="16.5" spans="1:4">
      <c r="A124" s="139"/>
      <c r="B124" s="139"/>
      <c r="C124" s="142" t="s">
        <v>223</v>
      </c>
      <c r="D124" s="141">
        <f>D110</f>
        <v>95.26</v>
      </c>
    </row>
    <row r="125" ht="16.5" spans="1:4">
      <c r="A125" s="139"/>
      <c r="B125" s="139"/>
      <c r="C125" s="140" t="s">
        <v>224</v>
      </c>
      <c r="D125" s="141">
        <f>D119</f>
        <v>75.51</v>
      </c>
    </row>
    <row r="126" ht="16.5" spans="1:4">
      <c r="A126" s="139"/>
      <c r="B126" s="139"/>
      <c r="C126" s="142" t="s">
        <v>204</v>
      </c>
      <c r="D126" s="143">
        <f>TRUNC((SUM(D121:D125)),2)</f>
        <v>2907.26</v>
      </c>
    </row>
    <row r="127" ht="15.75"/>
    <row r="128" ht="15.75" spans="1:7">
      <c r="A128" s="110" t="s">
        <v>164</v>
      </c>
      <c r="B128" s="110"/>
      <c r="C128" s="110"/>
      <c r="D128" s="110"/>
      <c r="F128" s="167" t="s">
        <v>225</v>
      </c>
      <c r="G128" s="167"/>
    </row>
    <row r="129" ht="15.75" spans="1:7">
      <c r="A129" s="128" t="s">
        <v>165</v>
      </c>
      <c r="B129" t="s">
        <v>166</v>
      </c>
      <c r="C129" s="128" t="s">
        <v>38</v>
      </c>
      <c r="D129" s="128" t="s">
        <v>19</v>
      </c>
      <c r="F129" s="169" t="s">
        <v>226</v>
      </c>
      <c r="G129" s="153">
        <f>C132</f>
        <v>0.0865</v>
      </c>
    </row>
    <row r="130" ht="15.75" spans="1:7">
      <c r="A130" s="128" t="s">
        <v>42</v>
      </c>
      <c r="B130" t="s">
        <v>167</v>
      </c>
      <c r="C130" s="168">
        <v>0.04</v>
      </c>
      <c r="D130" s="165">
        <f>TRUNC(($D$126*C130),2)</f>
        <v>116.29</v>
      </c>
      <c r="F130" s="170" t="s">
        <v>227</v>
      </c>
      <c r="G130" s="171">
        <f>TRUNC(SUM(D126,D130,D131),2)</f>
        <v>3174.72</v>
      </c>
    </row>
    <row r="131" ht="15.75" spans="1:7">
      <c r="A131" s="128" t="s">
        <v>45</v>
      </c>
      <c r="B131" t="s">
        <v>59</v>
      </c>
      <c r="C131" s="168">
        <v>0.05</v>
      </c>
      <c r="D131" s="165">
        <f>TRUNC((C131*(D126+D130)),2)</f>
        <v>151.17</v>
      </c>
      <c r="F131" s="169" t="s">
        <v>228</v>
      </c>
      <c r="G131" s="172">
        <f>(100-8.65)/100</f>
        <v>0.9135</v>
      </c>
    </row>
    <row r="132" ht="15.75" spans="1:7">
      <c r="A132" s="128" t="s">
        <v>48</v>
      </c>
      <c r="B132" t="s">
        <v>168</v>
      </c>
      <c r="C132" s="145">
        <f>SUM(C133:C135)</f>
        <v>0.0865</v>
      </c>
      <c r="D132" s="130">
        <f>TRUNC(SUM(D133:D135),2)</f>
        <v>300.59</v>
      </c>
      <c r="F132" s="170" t="s">
        <v>225</v>
      </c>
      <c r="G132" s="171">
        <f>TRUNC((G130/G131),2)</f>
        <v>3475.33</v>
      </c>
    </row>
    <row r="133" ht="15.75" spans="1:4">
      <c r="A133" s="128"/>
      <c r="B133" t="s">
        <v>229</v>
      </c>
      <c r="C133" s="145">
        <v>0.0065</v>
      </c>
      <c r="D133" s="130">
        <f t="shared" ref="D133:D135" si="2">TRUNC(($G$132*C133),2)</f>
        <v>22.58</v>
      </c>
    </row>
    <row r="134" spans="1:4">
      <c r="A134" s="128"/>
      <c r="B134" t="s">
        <v>230</v>
      </c>
      <c r="C134" s="145">
        <v>0.03</v>
      </c>
      <c r="D134" s="130">
        <f t="shared" si="2"/>
        <v>104.25</v>
      </c>
    </row>
    <row r="135" spans="1:4">
      <c r="A135" s="128"/>
      <c r="B135" t="s">
        <v>231</v>
      </c>
      <c r="C135" s="145">
        <v>0.05</v>
      </c>
      <c r="D135" s="130">
        <f t="shared" si="2"/>
        <v>173.76</v>
      </c>
    </row>
    <row r="136" spans="1:4">
      <c r="A136" s="128" t="s">
        <v>58</v>
      </c>
      <c r="B136" s="194"/>
      <c r="C136" s="173"/>
      <c r="D136" s="135">
        <f>TRUNC(SUM(D130:D132),2)</f>
        <v>568.05</v>
      </c>
    </row>
    <row r="137" spans="1:4">
      <c r="A137" s="128"/>
      <c r="C137" s="173"/>
      <c r="D137" s="135"/>
    </row>
    <row r="139" spans="1:4">
      <c r="A139" s="110" t="s">
        <v>172</v>
      </c>
      <c r="B139" s="110"/>
      <c r="C139" s="110"/>
      <c r="D139" s="110"/>
    </row>
    <row r="140" spans="1:4">
      <c r="A140" s="128" t="s">
        <v>16</v>
      </c>
      <c r="B140" s="128" t="s">
        <v>173</v>
      </c>
      <c r="C140" s="128" t="s">
        <v>102</v>
      </c>
      <c r="D140" s="128" t="s">
        <v>19</v>
      </c>
    </row>
    <row r="141" spans="1:4">
      <c r="A141" s="128" t="s">
        <v>42</v>
      </c>
      <c r="B141" t="s">
        <v>36</v>
      </c>
      <c r="D141" s="135">
        <f>D31</f>
        <v>1263.25</v>
      </c>
    </row>
    <row r="142" spans="1:4">
      <c r="A142" s="128" t="s">
        <v>45</v>
      </c>
      <c r="B142" t="s">
        <v>61</v>
      </c>
      <c r="D142" s="135">
        <f>D73</f>
        <v>1396.93</v>
      </c>
    </row>
    <row r="143" spans="1:4">
      <c r="A143" s="128" t="s">
        <v>48</v>
      </c>
      <c r="B143" t="s">
        <v>108</v>
      </c>
      <c r="D143" s="135">
        <f>D83</f>
        <v>76.31</v>
      </c>
    </row>
    <row r="144" spans="1:4">
      <c r="A144" s="128" t="s">
        <v>50</v>
      </c>
      <c r="B144" t="s">
        <v>174</v>
      </c>
      <c r="D144" s="135">
        <f>D110</f>
        <v>95.26</v>
      </c>
    </row>
    <row r="145" spans="1:4">
      <c r="A145" s="128" t="s">
        <v>53</v>
      </c>
      <c r="B145" t="s">
        <v>152</v>
      </c>
      <c r="D145" s="135">
        <f>D119</f>
        <v>75.51</v>
      </c>
    </row>
    <row r="146" spans="2:4">
      <c r="B146" s="174" t="s">
        <v>232</v>
      </c>
      <c r="D146" s="135">
        <f>TRUNC(SUM(D141:D145),2)</f>
        <v>2907.26</v>
      </c>
    </row>
    <row r="147" spans="1:4">
      <c r="A147" s="128" t="s">
        <v>55</v>
      </c>
      <c r="B147" t="s">
        <v>164</v>
      </c>
      <c r="D147" s="135">
        <f>D136</f>
        <v>568.05</v>
      </c>
    </row>
    <row r="148" spans="1:4">
      <c r="A148" s="175"/>
      <c r="B148" s="176" t="s">
        <v>233</v>
      </c>
      <c r="C148" s="175"/>
      <c r="D148" s="177">
        <f>TRUNC((SUM(D141:D145)+D147),2)</f>
        <v>3475.31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122" workbookViewId="0">
      <selection activeCell="G149" sqref="G149"/>
    </sheetView>
  </sheetViews>
  <sheetFormatPr defaultColWidth="9.14285714285714" defaultRowHeight="15" outlineLevelCol="6"/>
  <cols>
    <col min="1" max="1" width="13" customWidth="1"/>
    <col min="2" max="2" width="55.2857142857143" customWidth="1"/>
    <col min="3" max="3" width="34.8571428571429" customWidth="1"/>
    <col min="4" max="4" width="30.8571428571429" customWidth="1"/>
    <col min="6" max="6" width="22.8571428571429" style="1" customWidth="1"/>
    <col min="7" max="7" width="19.5714285714286" style="1" customWidth="1"/>
  </cols>
  <sheetData>
    <row r="2" ht="19.5" spans="1:4">
      <c r="A2" s="103" t="s">
        <v>177</v>
      </c>
      <c r="B2" s="103"/>
      <c r="C2" s="103"/>
      <c r="D2" s="103"/>
    </row>
    <row r="3" ht="15.75" spans="1:4">
      <c r="A3" s="104" t="s">
        <v>178</v>
      </c>
      <c r="B3" s="104"/>
      <c r="C3" s="104"/>
      <c r="D3" s="104"/>
    </row>
    <row r="4" spans="1:4">
      <c r="A4" s="105" t="s">
        <v>179</v>
      </c>
      <c r="B4" s="106" t="s">
        <v>180</v>
      </c>
      <c r="C4" s="107"/>
      <c r="D4" s="107"/>
    </row>
    <row r="5" spans="1:4">
      <c r="A5" s="108"/>
      <c r="B5" s="109"/>
      <c r="C5" s="109"/>
      <c r="D5" s="109"/>
    </row>
    <row r="6" ht="15.75" spans="1:4">
      <c r="A6" s="110" t="s">
        <v>181</v>
      </c>
      <c r="B6" s="110"/>
      <c r="C6" s="110"/>
      <c r="D6" s="110"/>
    </row>
    <row r="7" ht="15.75" spans="1:4">
      <c r="A7" s="111" t="s">
        <v>42</v>
      </c>
      <c r="B7" s="112" t="s">
        <v>182</v>
      </c>
      <c r="C7" s="113" t="s">
        <v>183</v>
      </c>
      <c r="D7" s="113"/>
    </row>
    <row r="8" spans="1:4">
      <c r="A8" s="114" t="s">
        <v>45</v>
      </c>
      <c r="B8" s="115" t="s">
        <v>184</v>
      </c>
      <c r="C8" s="116" t="s">
        <v>185</v>
      </c>
      <c r="D8" s="116"/>
    </row>
    <row r="9" spans="1:4">
      <c r="A9" s="117" t="s">
        <v>48</v>
      </c>
      <c r="B9" s="118" t="s">
        <v>186</v>
      </c>
      <c r="C9" s="116" t="s">
        <v>187</v>
      </c>
      <c r="D9" s="116"/>
    </row>
    <row r="10" spans="1:4">
      <c r="A10" s="114" t="s">
        <v>53</v>
      </c>
      <c r="B10" s="115" t="s">
        <v>188</v>
      </c>
      <c r="C10" s="116" t="s">
        <v>189</v>
      </c>
      <c r="D10" s="116"/>
    </row>
    <row r="11" ht="15.75" spans="1:4">
      <c r="A11" s="119" t="s">
        <v>190</v>
      </c>
      <c r="B11" s="119"/>
      <c r="C11" s="119"/>
      <c r="D11" s="119"/>
    </row>
    <row r="12" ht="16.5" spans="1:4">
      <c r="A12" s="120" t="s">
        <v>191</v>
      </c>
      <c r="B12" s="120"/>
      <c r="C12" s="119" t="s">
        <v>192</v>
      </c>
      <c r="D12" s="121" t="s">
        <v>193</v>
      </c>
    </row>
    <row r="13" ht="15.75" spans="1:4">
      <c r="A13" s="122" t="s">
        <v>234</v>
      </c>
      <c r="B13" s="122"/>
      <c r="C13" s="116" t="s">
        <v>195</v>
      </c>
      <c r="D13" s="123">
        <f>RESUMO!D4</f>
        <v>2</v>
      </c>
    </row>
    <row r="14" spans="1:4">
      <c r="A14" s="124"/>
      <c r="B14" s="124"/>
      <c r="C14" s="116"/>
      <c r="D14" s="125"/>
    </row>
    <row r="15" ht="15.75" spans="1:7">
      <c r="A15" s="119" t="s">
        <v>14</v>
      </c>
      <c r="B15" s="119"/>
      <c r="C15" s="119"/>
      <c r="D15" s="119"/>
      <c r="F15" s="127"/>
      <c r="G15" s="127"/>
    </row>
    <row r="16" ht="15.75" spans="1:4">
      <c r="A16" s="128" t="s">
        <v>16</v>
      </c>
      <c r="B16" t="s">
        <v>17</v>
      </c>
      <c r="C16" s="128" t="s">
        <v>18</v>
      </c>
      <c r="D16" s="128" t="s">
        <v>19</v>
      </c>
    </row>
    <row r="17" spans="1:4">
      <c r="A17" s="128">
        <v>1</v>
      </c>
      <c r="B17" t="s">
        <v>20</v>
      </c>
      <c r="C17" s="129" t="s">
        <v>102</v>
      </c>
      <c r="D17" s="129" t="str">
        <f>A13</f>
        <v>Técnico em Saúde Bucal</v>
      </c>
    </row>
    <row r="18" spans="1:4">
      <c r="A18" s="128">
        <v>2</v>
      </c>
      <c r="B18" t="s">
        <v>23</v>
      </c>
      <c r="C18" s="129" t="s">
        <v>196</v>
      </c>
      <c r="D18" s="190" t="s">
        <v>235</v>
      </c>
    </row>
    <row r="19" spans="1:4">
      <c r="A19" s="128">
        <v>3</v>
      </c>
      <c r="B19" t="s">
        <v>26</v>
      </c>
      <c r="C19" s="129" t="str">
        <f>C9</f>
        <v>CCT PB000517/2021</v>
      </c>
      <c r="D19" s="130">
        <v>1527.06</v>
      </c>
    </row>
    <row r="20" spans="1:4">
      <c r="A20" s="128">
        <v>4</v>
      </c>
      <c r="B20" t="s">
        <v>29</v>
      </c>
      <c r="C20" s="129" t="str">
        <f>C9</f>
        <v>CCT PB000517/2021</v>
      </c>
      <c r="D20" s="131" t="s">
        <v>198</v>
      </c>
    </row>
    <row r="21" spans="1:4">
      <c r="A21" s="128">
        <v>5</v>
      </c>
      <c r="B21" t="s">
        <v>33</v>
      </c>
      <c r="C21" s="129" t="str">
        <f>C9</f>
        <v>CCT PB000517/2021</v>
      </c>
      <c r="D21" s="132" t="s">
        <v>199</v>
      </c>
    </row>
    <row r="22" spans="6:7">
      <c r="F22" s="127"/>
      <c r="G22" s="127"/>
    </row>
    <row r="23" spans="1:4">
      <c r="A23" s="110" t="s">
        <v>36</v>
      </c>
      <c r="B23" s="110"/>
      <c r="C23" s="110"/>
      <c r="D23" s="110"/>
    </row>
    <row r="24" spans="1:7">
      <c r="A24" s="128" t="s">
        <v>39</v>
      </c>
      <c r="B24" s="133" t="s">
        <v>40</v>
      </c>
      <c r="C24" s="128" t="s">
        <v>18</v>
      </c>
      <c r="D24" s="128" t="s">
        <v>19</v>
      </c>
      <c r="G24" s="134"/>
    </row>
    <row r="25" spans="1:7">
      <c r="A25" s="128" t="s">
        <v>42</v>
      </c>
      <c r="B25" t="s">
        <v>43</v>
      </c>
      <c r="C25" s="131" t="s">
        <v>236</v>
      </c>
      <c r="D25" s="130">
        <f>D19</f>
        <v>1527.06</v>
      </c>
      <c r="G25" s="134"/>
    </row>
    <row r="26" spans="1:7">
      <c r="A26" s="128" t="s">
        <v>45</v>
      </c>
      <c r="B26" t="s">
        <v>46</v>
      </c>
      <c r="C26" s="131"/>
      <c r="D26" s="130">
        <v>0</v>
      </c>
      <c r="G26" s="134"/>
    </row>
    <row r="27" spans="1:4">
      <c r="A27" s="128" t="s">
        <v>48</v>
      </c>
      <c r="B27" t="s">
        <v>237</v>
      </c>
      <c r="C27" s="131"/>
      <c r="D27" s="191">
        <v>0</v>
      </c>
    </row>
    <row r="28" spans="1:4">
      <c r="A28" s="128" t="s">
        <v>50</v>
      </c>
      <c r="B28" t="s">
        <v>51</v>
      </c>
      <c r="C28" s="131"/>
      <c r="D28" s="130">
        <v>0</v>
      </c>
    </row>
    <row r="29" spans="1:4">
      <c r="A29" s="128" t="s">
        <v>53</v>
      </c>
      <c r="B29" t="s">
        <v>54</v>
      </c>
      <c r="C29" s="131"/>
      <c r="D29" s="130">
        <v>0</v>
      </c>
    </row>
    <row r="30" spans="1:4">
      <c r="A30" s="128" t="s">
        <v>55</v>
      </c>
      <c r="B30" t="s">
        <v>238</v>
      </c>
      <c r="C30" s="131"/>
      <c r="D30" s="130">
        <v>0</v>
      </c>
    </row>
    <row r="31" spans="1:7">
      <c r="A31" s="128" t="s">
        <v>58</v>
      </c>
      <c r="C31" s="128"/>
      <c r="D31" s="135">
        <f>TRUNC((SUM(D25:D30)),2)</f>
        <v>1527.06</v>
      </c>
      <c r="F31" s="127"/>
      <c r="G31" s="127"/>
    </row>
    <row r="32" spans="2:2">
      <c r="B32" s="41" t="s">
        <v>239</v>
      </c>
    </row>
    <row r="33" spans="1:7">
      <c r="A33" s="136" t="s">
        <v>61</v>
      </c>
      <c r="B33" s="136"/>
      <c r="C33" s="136"/>
      <c r="D33" s="136"/>
      <c r="G33" s="134"/>
    </row>
    <row r="35" spans="1:4">
      <c r="A35" s="126" t="s">
        <v>63</v>
      </c>
      <c r="B35" s="126"/>
      <c r="C35" s="126"/>
      <c r="D35" s="126"/>
    </row>
    <row r="36" spans="1:4">
      <c r="A36" s="128" t="s">
        <v>65</v>
      </c>
      <c r="B36" s="133" t="s">
        <v>66</v>
      </c>
      <c r="C36" s="128" t="s">
        <v>38</v>
      </c>
      <c r="D36" s="128" t="s">
        <v>19</v>
      </c>
    </row>
    <row r="37" spans="1:4">
      <c r="A37" s="128" t="s">
        <v>42</v>
      </c>
      <c r="B37" t="s">
        <v>67</v>
      </c>
      <c r="C37" s="137">
        <f>(1/12)</f>
        <v>0.0833333333333333</v>
      </c>
      <c r="D37" s="135">
        <f>TRUNC($D$31*C37,2)</f>
        <v>127.25</v>
      </c>
    </row>
    <row r="38" spans="1:4">
      <c r="A38" s="128" t="s">
        <v>45</v>
      </c>
      <c r="B38" t="s">
        <v>68</v>
      </c>
      <c r="C38" s="137">
        <f>(((1+1/3)/12))</f>
        <v>0.111111111111111</v>
      </c>
      <c r="D38" s="135">
        <f>TRUNC($D$31*C38,2)</f>
        <v>169.67</v>
      </c>
    </row>
    <row r="39" spans="1:4">
      <c r="A39" s="128" t="s">
        <v>58</v>
      </c>
      <c r="D39" s="135">
        <f>TRUNC((SUM(D37:D38)),2)</f>
        <v>296.92</v>
      </c>
    </row>
    <row r="40" ht="15.75" spans="4:4">
      <c r="D40" s="135"/>
    </row>
    <row r="41" ht="16.5" spans="1:4">
      <c r="A41" s="139" t="s">
        <v>201</v>
      </c>
      <c r="B41" s="139"/>
      <c r="C41" s="140" t="s">
        <v>202</v>
      </c>
      <c r="D41" s="141">
        <f>D31</f>
        <v>1527.06</v>
      </c>
    </row>
    <row r="42" ht="16.5" spans="1:4">
      <c r="A42" s="139"/>
      <c r="B42" s="139"/>
      <c r="C42" s="142" t="s">
        <v>203</v>
      </c>
      <c r="D42" s="141">
        <f>D39</f>
        <v>296.92</v>
      </c>
    </row>
    <row r="43" ht="16.5" spans="1:4">
      <c r="A43" s="139"/>
      <c r="B43" s="139"/>
      <c r="C43" s="140" t="s">
        <v>204</v>
      </c>
      <c r="D43" s="143">
        <f>TRUNC((SUM(D41:D42)),2)</f>
        <v>1823.98</v>
      </c>
    </row>
    <row r="44" ht="15.75" spans="1:4">
      <c r="A44" s="128"/>
      <c r="C44" s="144"/>
      <c r="D44" s="135"/>
    </row>
    <row r="45" spans="1:4">
      <c r="A45" s="126" t="s">
        <v>77</v>
      </c>
      <c r="B45" s="126"/>
      <c r="C45" s="126"/>
      <c r="D45" s="126"/>
    </row>
    <row r="46" spans="1:4">
      <c r="A46" s="128" t="s">
        <v>78</v>
      </c>
      <c r="B46" s="133" t="s">
        <v>79</v>
      </c>
      <c r="C46" s="128" t="s">
        <v>38</v>
      </c>
      <c r="D46" s="128" t="s">
        <v>80</v>
      </c>
    </row>
    <row r="47" spans="1:4">
      <c r="A47" s="128" t="s">
        <v>42</v>
      </c>
      <c r="B47" t="s">
        <v>81</v>
      </c>
      <c r="C47" s="137">
        <v>0.2</v>
      </c>
      <c r="D47" s="135">
        <f t="shared" ref="D47:D54" si="0">TRUNC(($D$43*C47),2)</f>
        <v>364.79</v>
      </c>
    </row>
    <row r="48" spans="1:4">
      <c r="A48" s="128" t="s">
        <v>45</v>
      </c>
      <c r="B48" t="s">
        <v>82</v>
      </c>
      <c r="C48" s="137">
        <v>0.025</v>
      </c>
      <c r="D48" s="135">
        <f t="shared" si="0"/>
        <v>45.59</v>
      </c>
    </row>
    <row r="49" spans="1:4">
      <c r="A49" s="128" t="s">
        <v>48</v>
      </c>
      <c r="B49" t="s">
        <v>205</v>
      </c>
      <c r="C49" s="145">
        <v>0.06</v>
      </c>
      <c r="D49" s="130">
        <f t="shared" si="0"/>
        <v>109.43</v>
      </c>
    </row>
    <row r="50" spans="1:4">
      <c r="A50" s="128" t="s">
        <v>50</v>
      </c>
      <c r="B50" t="s">
        <v>84</v>
      </c>
      <c r="C50" s="137">
        <v>0.015</v>
      </c>
      <c r="D50" s="135">
        <f t="shared" si="0"/>
        <v>27.35</v>
      </c>
    </row>
    <row r="51" spans="1:4">
      <c r="A51" s="128" t="s">
        <v>53</v>
      </c>
      <c r="B51" t="s">
        <v>85</v>
      </c>
      <c r="C51" s="137">
        <v>0.01</v>
      </c>
      <c r="D51" s="135">
        <f t="shared" si="0"/>
        <v>18.23</v>
      </c>
    </row>
    <row r="52" spans="1:4">
      <c r="A52" s="128" t="s">
        <v>55</v>
      </c>
      <c r="B52" t="s">
        <v>86</v>
      </c>
      <c r="C52" s="137">
        <v>0.006</v>
      </c>
      <c r="D52" s="135">
        <f t="shared" si="0"/>
        <v>10.94</v>
      </c>
    </row>
    <row r="53" spans="1:4">
      <c r="A53" s="128" t="s">
        <v>87</v>
      </c>
      <c r="B53" t="s">
        <v>88</v>
      </c>
      <c r="C53" s="137">
        <v>0.002</v>
      </c>
      <c r="D53" s="135">
        <f t="shared" si="0"/>
        <v>3.64</v>
      </c>
    </row>
    <row r="54" spans="1:4">
      <c r="A54" s="128" t="s">
        <v>89</v>
      </c>
      <c r="B54" t="s">
        <v>90</v>
      </c>
      <c r="C54" s="137">
        <v>0.08</v>
      </c>
      <c r="D54" s="135">
        <f t="shared" si="0"/>
        <v>145.91</v>
      </c>
    </row>
    <row r="55" spans="1:4">
      <c r="A55" s="128" t="s">
        <v>58</v>
      </c>
      <c r="C55" s="144">
        <f>SUM(C47:C54)</f>
        <v>0.398</v>
      </c>
      <c r="D55" s="135">
        <f>TRUNC(SUM(D47:D54),2)</f>
        <v>725.88</v>
      </c>
    </row>
    <row r="56" spans="1:4">
      <c r="A56" s="128"/>
      <c r="C56" s="144"/>
      <c r="D56" s="135"/>
    </row>
    <row r="57" spans="1:4">
      <c r="A57" s="126" t="s">
        <v>95</v>
      </c>
      <c r="B57" s="126"/>
      <c r="C57" s="126"/>
      <c r="D57" s="126"/>
    </row>
    <row r="58" spans="1:4">
      <c r="A58" s="128" t="s">
        <v>96</v>
      </c>
      <c r="B58" s="133" t="s">
        <v>97</v>
      </c>
      <c r="C58" s="128" t="s">
        <v>18</v>
      </c>
      <c r="D58" s="128" t="s">
        <v>19</v>
      </c>
    </row>
    <row r="59" spans="1:4">
      <c r="A59" s="128" t="s">
        <v>42</v>
      </c>
      <c r="B59" t="s">
        <v>98</v>
      </c>
      <c r="C59" s="129"/>
      <c r="D59" s="146">
        <f>TRUNC(((22*4.4)*2)-((D25/100)*6),2)</f>
        <v>101.97</v>
      </c>
    </row>
    <row r="60" spans="1:4">
      <c r="A60" s="128" t="s">
        <v>45</v>
      </c>
      <c r="B60" t="s">
        <v>99</v>
      </c>
      <c r="C60" s="129" t="str">
        <f>C9</f>
        <v>CCT PB000517/2021</v>
      </c>
      <c r="D60" s="130">
        <f>TRUNC((((460))-(((460))*0.2)),2)</f>
        <v>368</v>
      </c>
    </row>
    <row r="61" spans="1:4">
      <c r="A61" s="128" t="s">
        <v>48</v>
      </c>
      <c r="B61" t="s">
        <v>100</v>
      </c>
      <c r="C61" s="129"/>
      <c r="D61" s="130">
        <v>0</v>
      </c>
    </row>
    <row r="62" spans="1:6">
      <c r="A62" s="147" t="s">
        <v>50</v>
      </c>
      <c r="B62" s="148" t="s">
        <v>206</v>
      </c>
      <c r="C62" s="149"/>
      <c r="D62" s="149">
        <v>0</v>
      </c>
      <c r="F62" s="147"/>
    </row>
    <row r="63" spans="1:4">
      <c r="A63" s="147" t="s">
        <v>53</v>
      </c>
      <c r="B63" s="133" t="s">
        <v>207</v>
      </c>
      <c r="C63" s="129" t="s">
        <v>187</v>
      </c>
      <c r="D63" s="130">
        <v>20</v>
      </c>
    </row>
    <row r="64" spans="1:4">
      <c r="A64" s="147" t="s">
        <v>55</v>
      </c>
      <c r="B64" s="150" t="s">
        <v>208</v>
      </c>
      <c r="C64" s="129" t="s">
        <v>187</v>
      </c>
      <c r="D64" s="130">
        <v>5</v>
      </c>
    </row>
    <row r="65" spans="1:4">
      <c r="A65" s="147" t="s">
        <v>87</v>
      </c>
      <c r="B65" s="150" t="s">
        <v>209</v>
      </c>
      <c r="C65" s="149" t="s">
        <v>187</v>
      </c>
      <c r="D65" s="130">
        <v>40</v>
      </c>
    </row>
    <row r="66" spans="1:4">
      <c r="A66" s="128" t="s">
        <v>58</v>
      </c>
      <c r="D66" s="135">
        <f>TRUNC((SUM(D59:D65)),2)</f>
        <v>534.97</v>
      </c>
    </row>
    <row r="67" spans="1:4">
      <c r="A67" s="128"/>
      <c r="D67" s="135"/>
    </row>
    <row r="68" spans="1:4">
      <c r="A68" s="126" t="s">
        <v>105</v>
      </c>
      <c r="B68" s="126"/>
      <c r="C68" s="126"/>
      <c r="D68" s="126"/>
    </row>
    <row r="69" spans="1:4">
      <c r="A69" s="128" t="s">
        <v>106</v>
      </c>
      <c r="B69" s="133" t="s">
        <v>107</v>
      </c>
      <c r="C69" s="128" t="s">
        <v>18</v>
      </c>
      <c r="D69" s="128" t="s">
        <v>19</v>
      </c>
    </row>
    <row r="70" spans="1:4">
      <c r="A70" s="128" t="s">
        <v>65</v>
      </c>
      <c r="B70" t="s">
        <v>66</v>
      </c>
      <c r="C70" s="128"/>
      <c r="D70" s="135">
        <f>D39</f>
        <v>296.92</v>
      </c>
    </row>
    <row r="71" spans="1:4">
      <c r="A71" s="128" t="s">
        <v>78</v>
      </c>
      <c r="B71" t="s">
        <v>79</v>
      </c>
      <c r="C71" s="128"/>
      <c r="D71" s="135">
        <f>D55</f>
        <v>725.88</v>
      </c>
    </row>
    <row r="72" spans="1:4">
      <c r="A72" s="128" t="s">
        <v>96</v>
      </c>
      <c r="B72" t="s">
        <v>97</v>
      </c>
      <c r="C72" s="128"/>
      <c r="D72" s="135">
        <f>D66</f>
        <v>534.97</v>
      </c>
    </row>
    <row r="73" spans="1:4">
      <c r="A73" s="128" t="s">
        <v>58</v>
      </c>
      <c r="C73" s="128"/>
      <c r="D73" s="135">
        <f>TRUNC((SUM(D70:D72)),2)</f>
        <v>1557.77</v>
      </c>
    </row>
    <row r="75" spans="1:4">
      <c r="A75" s="110" t="s">
        <v>108</v>
      </c>
      <c r="B75" s="110"/>
      <c r="C75" s="110"/>
      <c r="D75" s="110"/>
    </row>
    <row r="76" spans="1:4">
      <c r="A76" s="128" t="s">
        <v>109</v>
      </c>
      <c r="B76" s="133" t="s">
        <v>110</v>
      </c>
      <c r="C76" s="128" t="s">
        <v>38</v>
      </c>
      <c r="D76" s="128" t="s">
        <v>19</v>
      </c>
    </row>
    <row r="77" spans="1:4">
      <c r="A77" s="128" t="s">
        <v>42</v>
      </c>
      <c r="B77" t="s">
        <v>111</v>
      </c>
      <c r="C77" s="145">
        <f>((1/12)*2%)</f>
        <v>0.00166666666666667</v>
      </c>
      <c r="D77" s="130">
        <f t="shared" ref="D77:D80" si="1">TRUNC(($D$31*C77),2)</f>
        <v>2.54</v>
      </c>
    </row>
    <row r="78" spans="1:4">
      <c r="A78" s="128" t="s">
        <v>45</v>
      </c>
      <c r="B78" t="s">
        <v>112</v>
      </c>
      <c r="C78" s="151">
        <v>0.08</v>
      </c>
      <c r="D78" s="135">
        <f>TRUNC(($D$77*C78),2)</f>
        <v>0.2</v>
      </c>
    </row>
    <row r="79" ht="30" spans="1:4">
      <c r="A79" s="128" t="s">
        <v>48</v>
      </c>
      <c r="B79" s="152" t="s">
        <v>113</v>
      </c>
      <c r="C79" s="153">
        <f>(0.08*0.4*0.02)</f>
        <v>0.00064</v>
      </c>
      <c r="D79" s="149">
        <f t="shared" si="1"/>
        <v>0.97</v>
      </c>
    </row>
    <row r="80" spans="1:4">
      <c r="A80" s="128" t="s">
        <v>50</v>
      </c>
      <c r="B80" t="s">
        <v>114</v>
      </c>
      <c r="C80" s="154">
        <f>(((7/30)/12)*0.98)</f>
        <v>0.0190555555555556</v>
      </c>
      <c r="D80" s="155">
        <f t="shared" si="1"/>
        <v>29.09</v>
      </c>
    </row>
    <row r="81" ht="30" spans="1:4">
      <c r="A81" s="128" t="s">
        <v>53</v>
      </c>
      <c r="B81" s="152" t="s">
        <v>210</v>
      </c>
      <c r="C81" s="153">
        <f>C55</f>
        <v>0.398</v>
      </c>
      <c r="D81" s="149">
        <f>TRUNC(($D$80*C81),2)</f>
        <v>11.57</v>
      </c>
    </row>
    <row r="82" ht="30" spans="1:4">
      <c r="A82" s="128" t="s">
        <v>55</v>
      </c>
      <c r="B82" s="152" t="s">
        <v>115</v>
      </c>
      <c r="C82" s="154">
        <f>(0.08*0.4*0.98)</f>
        <v>0.03136</v>
      </c>
      <c r="D82" s="192">
        <f>TRUNC(($D$31*C82),2)</f>
        <v>47.88</v>
      </c>
    </row>
    <row r="83" spans="1:4">
      <c r="A83" s="128" t="s">
        <v>58</v>
      </c>
      <c r="C83" s="151">
        <f>SUM(C77:C82)</f>
        <v>0.530722222222222</v>
      </c>
      <c r="D83" s="135">
        <f>TRUNC((SUM(D77:D82)),2)</f>
        <v>92.25</v>
      </c>
    </row>
    <row r="84" ht="15.75" spans="1:4">
      <c r="A84" s="128"/>
      <c r="D84" s="135"/>
    </row>
    <row r="85" ht="16.5" spans="1:4">
      <c r="A85" s="139" t="s">
        <v>211</v>
      </c>
      <c r="B85" s="139"/>
      <c r="C85" s="140" t="s">
        <v>202</v>
      </c>
      <c r="D85" s="141">
        <f>D31</f>
        <v>1527.06</v>
      </c>
    </row>
    <row r="86" ht="16.5" spans="1:4">
      <c r="A86" s="139"/>
      <c r="B86" s="139"/>
      <c r="C86" s="142" t="s">
        <v>212</v>
      </c>
      <c r="D86" s="141">
        <f>D73</f>
        <v>1557.77</v>
      </c>
    </row>
    <row r="87" ht="16.5" spans="1:4">
      <c r="A87" s="139"/>
      <c r="B87" s="139"/>
      <c r="C87" s="140" t="s">
        <v>213</v>
      </c>
      <c r="D87" s="141">
        <f>D83</f>
        <v>92.25</v>
      </c>
    </row>
    <row r="88" ht="16.5" spans="1:4">
      <c r="A88" s="139"/>
      <c r="B88" s="139"/>
      <c r="C88" s="142" t="s">
        <v>204</v>
      </c>
      <c r="D88" s="143">
        <f>TRUNC((SUM(D85:D87)),2)</f>
        <v>3177.08</v>
      </c>
    </row>
    <row r="89" ht="15.75" spans="1:4">
      <c r="A89" s="128"/>
      <c r="D89" s="135"/>
    </row>
    <row r="90" spans="1:4">
      <c r="A90" s="156" t="s">
        <v>127</v>
      </c>
      <c r="B90" s="156"/>
      <c r="C90" s="156"/>
      <c r="D90" s="156"/>
    </row>
    <row r="91" spans="1:4">
      <c r="A91" s="126" t="s">
        <v>128</v>
      </c>
      <c r="B91" s="126"/>
      <c r="C91" s="126"/>
      <c r="D91" s="126"/>
    </row>
    <row r="92" spans="1:4">
      <c r="A92" s="128" t="s">
        <v>129</v>
      </c>
      <c r="B92" s="133" t="s">
        <v>130</v>
      </c>
      <c r="C92" s="128" t="s">
        <v>38</v>
      </c>
      <c r="D92" s="128" t="s">
        <v>19</v>
      </c>
    </row>
    <row r="93" spans="1:4">
      <c r="A93" s="128" t="s">
        <v>42</v>
      </c>
      <c r="B93" t="s">
        <v>132</v>
      </c>
      <c r="C93" s="151">
        <f>(((1+1/3)/12)/12)+((1/12)/12)</f>
        <v>0.0162037037037037</v>
      </c>
      <c r="D93" s="135">
        <f t="shared" ref="D93:D97" si="2">TRUNC(($D$88*C93),2)</f>
        <v>51.48</v>
      </c>
    </row>
    <row r="94" spans="1:4">
      <c r="A94" s="128" t="s">
        <v>45</v>
      </c>
      <c r="B94" t="s">
        <v>133</v>
      </c>
      <c r="C94" s="145">
        <f>((5/30)/12)</f>
        <v>0.0138888888888889</v>
      </c>
      <c r="D94" s="149">
        <f t="shared" si="2"/>
        <v>44.12</v>
      </c>
    </row>
    <row r="95" spans="1:4">
      <c r="A95" s="128" t="s">
        <v>48</v>
      </c>
      <c r="B95" t="s">
        <v>134</v>
      </c>
      <c r="C95" s="145">
        <f>((5/30)/12)*0.02</f>
        <v>0.000277777777777778</v>
      </c>
      <c r="D95" s="149">
        <f t="shared" si="2"/>
        <v>0.88</v>
      </c>
    </row>
    <row r="96" spans="1:4">
      <c r="A96" s="147" t="s">
        <v>50</v>
      </c>
      <c r="B96" s="152" t="s">
        <v>135</v>
      </c>
      <c r="C96" s="153">
        <f>((15/30)/12)*0.08</f>
        <v>0.00333333333333333</v>
      </c>
      <c r="D96" s="149">
        <f t="shared" si="2"/>
        <v>10.59</v>
      </c>
    </row>
    <row r="97" spans="1:4">
      <c r="A97" s="128" t="s">
        <v>53</v>
      </c>
      <c r="B97" t="s">
        <v>136</v>
      </c>
      <c r="C97" s="145">
        <f>((1+1/3)/12)*0.03*((4/12))</f>
        <v>0.00111111111111111</v>
      </c>
      <c r="D97" s="149">
        <f t="shared" si="2"/>
        <v>3.53</v>
      </c>
    </row>
    <row r="98" spans="1:4">
      <c r="A98" s="128" t="s">
        <v>55</v>
      </c>
      <c r="B98" s="152" t="s">
        <v>215</v>
      </c>
      <c r="C98" s="157">
        <v>0</v>
      </c>
      <c r="D98" s="149">
        <f>TRUNC($D$88*C98)</f>
        <v>0</v>
      </c>
    </row>
    <row r="99" spans="1:4">
      <c r="A99" s="128" t="s">
        <v>58</v>
      </c>
      <c r="C99" s="151">
        <f>SUM(C93:C98)</f>
        <v>0.0348148148148148</v>
      </c>
      <c r="D99" s="135">
        <f>TRUNC((SUM(D93:D98)),2)</f>
        <v>110.6</v>
      </c>
    </row>
    <row r="100" spans="1:4">
      <c r="A100" s="128"/>
      <c r="C100" s="128"/>
      <c r="D100" s="135"/>
    </row>
    <row r="101" spans="1:4">
      <c r="A101" s="126" t="s">
        <v>144</v>
      </c>
      <c r="B101" s="126"/>
      <c r="C101" s="126"/>
      <c r="D101" s="126"/>
    </row>
    <row r="102" spans="1:4">
      <c r="A102" s="128" t="s">
        <v>145</v>
      </c>
      <c r="B102" s="133" t="s">
        <v>146</v>
      </c>
      <c r="C102" s="128" t="s">
        <v>18</v>
      </c>
      <c r="D102" s="128" t="s">
        <v>19</v>
      </c>
    </row>
    <row r="103" ht="75" spans="1:4">
      <c r="A103" s="147" t="s">
        <v>42</v>
      </c>
      <c r="B103" s="158" t="s">
        <v>147</v>
      </c>
      <c r="C103" s="159" t="s">
        <v>216</v>
      </c>
      <c r="D103" s="160" t="s">
        <v>217</v>
      </c>
    </row>
    <row r="104" spans="1:4">
      <c r="A104" s="128" t="s">
        <v>58</v>
      </c>
      <c r="C104" s="161"/>
      <c r="D104" s="162" t="str">
        <f>D103</f>
        <v>*=TRUNCAR(($D$86/220)*(1*(365/12))/2)</v>
      </c>
    </row>
    <row r="106" spans="1:4">
      <c r="A106" s="126" t="s">
        <v>148</v>
      </c>
      <c r="B106" s="126"/>
      <c r="C106" s="126"/>
      <c r="D106" s="126"/>
    </row>
    <row r="107" spans="1:4">
      <c r="A107" s="128" t="s">
        <v>149</v>
      </c>
      <c r="B107" s="133" t="s">
        <v>150</v>
      </c>
      <c r="C107" s="128" t="s">
        <v>18</v>
      </c>
      <c r="D107" s="128" t="s">
        <v>19</v>
      </c>
    </row>
    <row r="108" spans="1:4">
      <c r="A108" s="128" t="s">
        <v>129</v>
      </c>
      <c r="B108" t="s">
        <v>130</v>
      </c>
      <c r="D108" s="130">
        <f>D99</f>
        <v>110.6</v>
      </c>
    </row>
    <row r="109" spans="1:4">
      <c r="A109" s="128" t="s">
        <v>145</v>
      </c>
      <c r="B109" t="s">
        <v>151</v>
      </c>
      <c r="C109" s="133"/>
      <c r="D109" s="163"/>
    </row>
    <row r="110" ht="45" spans="1:4">
      <c r="A110" s="147" t="s">
        <v>58</v>
      </c>
      <c r="B110" s="148"/>
      <c r="C110" s="159" t="s">
        <v>218</v>
      </c>
      <c r="D110" s="164">
        <f>TRUNC((SUM(D108:D109)),2)</f>
        <v>110.6</v>
      </c>
    </row>
    <row r="112" spans="1:4">
      <c r="A112" s="110" t="s">
        <v>152</v>
      </c>
      <c r="B112" s="110"/>
      <c r="C112" s="110"/>
      <c r="D112" s="110"/>
    </row>
    <row r="113" spans="1:4">
      <c r="A113" s="147" t="s">
        <v>153</v>
      </c>
      <c r="B113" s="148" t="s">
        <v>154</v>
      </c>
      <c r="C113" s="147" t="s">
        <v>18</v>
      </c>
      <c r="D113" s="147" t="s">
        <v>19</v>
      </c>
    </row>
    <row r="114" spans="1:4">
      <c r="A114" s="128" t="s">
        <v>42</v>
      </c>
      <c r="B114" t="s">
        <v>219</v>
      </c>
      <c r="D114" s="165">
        <f>Uniformes!G71</f>
        <v>94.27</v>
      </c>
    </row>
    <row r="115" spans="1:4">
      <c r="A115" s="128" t="s">
        <v>45</v>
      </c>
      <c r="B115" t="s">
        <v>220</v>
      </c>
      <c r="D115" s="165">
        <v>0</v>
      </c>
    </row>
    <row r="116" spans="1:4">
      <c r="A116" s="128" t="s">
        <v>48</v>
      </c>
      <c r="B116" t="s">
        <v>156</v>
      </c>
      <c r="D116" s="165">
        <v>0</v>
      </c>
    </row>
    <row r="117" spans="1:4">
      <c r="A117" s="128" t="s">
        <v>50</v>
      </c>
      <c r="B117" t="s">
        <v>157</v>
      </c>
      <c r="D117" s="165">
        <v>0</v>
      </c>
    </row>
    <row r="118" spans="1:4">
      <c r="A118" s="128" t="s">
        <v>53</v>
      </c>
      <c r="B118" t="s">
        <v>221</v>
      </c>
      <c r="C118" s="128"/>
      <c r="D118" s="193">
        <v>0</v>
      </c>
    </row>
    <row r="119" spans="1:4">
      <c r="A119" s="128" t="s">
        <v>58</v>
      </c>
      <c r="D119" s="166">
        <f>SUBTOTAL(109,Módulo562_5811668[Valor])</f>
        <v>94.27</v>
      </c>
    </row>
    <row r="120" ht="15.75"/>
    <row r="121" ht="16.5" spans="1:4">
      <c r="A121" s="139" t="s">
        <v>222</v>
      </c>
      <c r="B121" s="139"/>
      <c r="C121" s="140" t="s">
        <v>202</v>
      </c>
      <c r="D121" s="141">
        <f>D31</f>
        <v>1527.06</v>
      </c>
    </row>
    <row r="122" ht="16.5" spans="1:4">
      <c r="A122" s="139"/>
      <c r="B122" s="139"/>
      <c r="C122" s="142" t="s">
        <v>212</v>
      </c>
      <c r="D122" s="141">
        <f>D73</f>
        <v>1557.77</v>
      </c>
    </row>
    <row r="123" ht="16.5" spans="1:4">
      <c r="A123" s="139"/>
      <c r="B123" s="139"/>
      <c r="C123" s="140" t="s">
        <v>213</v>
      </c>
      <c r="D123" s="141">
        <f>D83</f>
        <v>92.25</v>
      </c>
    </row>
    <row r="124" ht="16.5" spans="1:4">
      <c r="A124" s="139"/>
      <c r="B124" s="139"/>
      <c r="C124" s="142" t="s">
        <v>223</v>
      </c>
      <c r="D124" s="141">
        <f>D110</f>
        <v>110.6</v>
      </c>
    </row>
    <row r="125" ht="16.5" spans="1:4">
      <c r="A125" s="139"/>
      <c r="B125" s="139"/>
      <c r="C125" s="140" t="s">
        <v>224</v>
      </c>
      <c r="D125" s="141">
        <f>D119</f>
        <v>94.27</v>
      </c>
    </row>
    <row r="126" ht="16.5" spans="1:4">
      <c r="A126" s="139"/>
      <c r="B126" s="139"/>
      <c r="C126" s="142" t="s">
        <v>204</v>
      </c>
      <c r="D126" s="143">
        <f>TRUNC((SUM(D121:D125)),2)</f>
        <v>3381.95</v>
      </c>
    </row>
    <row r="127" ht="15.75"/>
    <row r="128" spans="1:4">
      <c r="A128" s="110" t="s">
        <v>164</v>
      </c>
      <c r="B128" s="110"/>
      <c r="C128" s="110"/>
      <c r="D128" s="110"/>
    </row>
    <row r="129" ht="15.75" spans="1:7">
      <c r="A129" s="128" t="s">
        <v>165</v>
      </c>
      <c r="B129" t="s">
        <v>166</v>
      </c>
      <c r="C129" s="128" t="s">
        <v>38</v>
      </c>
      <c r="D129" s="128" t="s">
        <v>19</v>
      </c>
      <c r="F129" s="167" t="s">
        <v>225</v>
      </c>
      <c r="G129" s="167"/>
    </row>
    <row r="130" ht="15.75" spans="1:7">
      <c r="A130" s="128" t="s">
        <v>42</v>
      </c>
      <c r="B130" t="s">
        <v>167</v>
      </c>
      <c r="C130" s="168">
        <v>0.04</v>
      </c>
      <c r="D130" s="165">
        <f>TRUNC(($D$126*C130),2)</f>
        <v>135.27</v>
      </c>
      <c r="F130" s="169" t="s">
        <v>226</v>
      </c>
      <c r="G130" s="153">
        <f>C132</f>
        <v>0.0865</v>
      </c>
    </row>
    <row r="131" ht="15.75" spans="1:7">
      <c r="A131" s="128" t="s">
        <v>45</v>
      </c>
      <c r="B131" t="s">
        <v>59</v>
      </c>
      <c r="C131" s="168">
        <v>0.05</v>
      </c>
      <c r="D131" s="165">
        <f>TRUNC((C131*(D126+D130)),2)</f>
        <v>175.86</v>
      </c>
      <c r="F131" s="170" t="s">
        <v>227</v>
      </c>
      <c r="G131" s="171">
        <f>TRUNC(SUM(D126,D130,D131),2)</f>
        <v>3693.08</v>
      </c>
    </row>
    <row r="132" ht="15.75" spans="1:7">
      <c r="A132" s="128" t="s">
        <v>48</v>
      </c>
      <c r="B132" t="s">
        <v>168</v>
      </c>
      <c r="C132" s="145">
        <f>SUM(C133:C135)</f>
        <v>0.0865</v>
      </c>
      <c r="D132" s="130">
        <f>TRUNC(SUM(D133:D135),2)</f>
        <v>349.68</v>
      </c>
      <c r="F132" s="169" t="s">
        <v>228</v>
      </c>
      <c r="G132" s="172">
        <f>(100-8.65)/100</f>
        <v>0.9135</v>
      </c>
    </row>
    <row r="133" ht="15.75" spans="1:7">
      <c r="A133" s="128"/>
      <c r="B133" t="s">
        <v>229</v>
      </c>
      <c r="C133" s="145">
        <v>0.0065</v>
      </c>
      <c r="D133" s="130">
        <f t="shared" ref="D133:D135" si="3">TRUNC(($G$133*C133),2)</f>
        <v>26.27</v>
      </c>
      <c r="F133" s="170" t="s">
        <v>225</v>
      </c>
      <c r="G133" s="171">
        <f>TRUNC((G131/G132),2)</f>
        <v>4042.78</v>
      </c>
    </row>
    <row r="134" ht="15.75" spans="1:4">
      <c r="A134" s="128"/>
      <c r="B134" t="s">
        <v>230</v>
      </c>
      <c r="C134" s="145">
        <v>0.03</v>
      </c>
      <c r="D134" s="130">
        <f t="shared" si="3"/>
        <v>121.28</v>
      </c>
    </row>
    <row r="135" spans="1:4">
      <c r="A135" s="128"/>
      <c r="B135" t="s">
        <v>231</v>
      </c>
      <c r="C135" s="145">
        <v>0.05</v>
      </c>
      <c r="D135" s="130">
        <f t="shared" si="3"/>
        <v>202.13</v>
      </c>
    </row>
    <row r="136" spans="1:4">
      <c r="A136" s="128" t="s">
        <v>58</v>
      </c>
      <c r="B136" s="194"/>
      <c r="C136" s="173"/>
      <c r="D136" s="135">
        <f>TRUNC(SUM(D130:D132),2)</f>
        <v>660.81</v>
      </c>
    </row>
    <row r="137" spans="1:4">
      <c r="A137" s="128"/>
      <c r="C137" s="173"/>
      <c r="D137" s="135"/>
    </row>
    <row r="139" spans="1:4">
      <c r="A139" s="110" t="s">
        <v>172</v>
      </c>
      <c r="B139" s="110"/>
      <c r="C139" s="110"/>
      <c r="D139" s="110"/>
    </row>
    <row r="140" spans="1:4">
      <c r="A140" s="128" t="s">
        <v>16</v>
      </c>
      <c r="B140" s="128" t="s">
        <v>173</v>
      </c>
      <c r="C140" s="128" t="s">
        <v>102</v>
      </c>
      <c r="D140" s="128" t="s">
        <v>19</v>
      </c>
    </row>
    <row r="141" spans="1:4">
      <c r="A141" s="128" t="s">
        <v>42</v>
      </c>
      <c r="B141" t="s">
        <v>36</v>
      </c>
      <c r="D141" s="135">
        <f>D31</f>
        <v>1527.06</v>
      </c>
    </row>
    <row r="142" spans="1:4">
      <c r="A142" s="128" t="s">
        <v>45</v>
      </c>
      <c r="B142" t="s">
        <v>61</v>
      </c>
      <c r="D142" s="135">
        <f>D73</f>
        <v>1557.77</v>
      </c>
    </row>
    <row r="143" spans="1:4">
      <c r="A143" s="128" t="s">
        <v>48</v>
      </c>
      <c r="B143" t="s">
        <v>108</v>
      </c>
      <c r="D143" s="135">
        <f>D83</f>
        <v>92.25</v>
      </c>
    </row>
    <row r="144" spans="1:4">
      <c r="A144" s="128" t="s">
        <v>50</v>
      </c>
      <c r="B144" t="s">
        <v>174</v>
      </c>
      <c r="D144" s="135">
        <f>D110</f>
        <v>110.6</v>
      </c>
    </row>
    <row r="145" spans="1:4">
      <c r="A145" s="128" t="s">
        <v>53</v>
      </c>
      <c r="B145" t="s">
        <v>152</v>
      </c>
      <c r="D145" s="135">
        <f>D119</f>
        <v>94.27</v>
      </c>
    </row>
    <row r="146" spans="2:4">
      <c r="B146" s="174" t="s">
        <v>232</v>
      </c>
      <c r="D146" s="135">
        <f>TRUNC(SUM(D141:D145),2)</f>
        <v>3381.95</v>
      </c>
    </row>
    <row r="147" spans="1:4">
      <c r="A147" s="128" t="s">
        <v>55</v>
      </c>
      <c r="B147" t="s">
        <v>164</v>
      </c>
      <c r="D147" s="135">
        <f>D136</f>
        <v>660.81</v>
      </c>
    </row>
    <row r="148" spans="1:4">
      <c r="A148" s="175"/>
      <c r="B148" s="176" t="s">
        <v>233</v>
      </c>
      <c r="C148" s="175"/>
      <c r="D148" s="177">
        <f>TRUNC((SUM(D141:D145)+D147),2)</f>
        <v>4042.76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scale="95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D148" sqref="A1:D148"/>
    </sheetView>
  </sheetViews>
  <sheetFormatPr defaultColWidth="9.14285714285714" defaultRowHeight="15" outlineLevelCol="6"/>
  <cols>
    <col min="1" max="1" width="11.3619047619048" customWidth="1"/>
    <col min="2" max="2" width="45.0571428571429" customWidth="1"/>
    <col min="3" max="3" width="29.1333333333333" customWidth="1"/>
    <col min="4" max="4" width="38.1428571428571" customWidth="1"/>
    <col min="6" max="6" width="22.8571428571429" customWidth="1"/>
    <col min="7" max="7" width="11.4285714285714" customWidth="1"/>
    <col min="9" max="9" width="11.4285714285714" customWidth="1"/>
  </cols>
  <sheetData>
    <row r="2" ht="19.5" spans="1:4">
      <c r="A2" s="103" t="s">
        <v>177</v>
      </c>
      <c r="B2" s="103"/>
      <c r="C2" s="103"/>
      <c r="D2" s="103"/>
    </row>
    <row r="3" ht="15.75" spans="1:4">
      <c r="A3" s="104" t="s">
        <v>178</v>
      </c>
      <c r="B3" s="104"/>
      <c r="C3" s="104"/>
      <c r="D3" s="104"/>
    </row>
    <row r="4" spans="1:4">
      <c r="A4" s="105" t="s">
        <v>179</v>
      </c>
      <c r="B4" s="106" t="s">
        <v>180</v>
      </c>
      <c r="C4" s="107"/>
      <c r="D4" s="107"/>
    </row>
    <row r="5" spans="1:4">
      <c r="A5" s="108"/>
      <c r="B5" s="109"/>
      <c r="C5" s="109"/>
      <c r="D5" s="109"/>
    </row>
    <row r="6" ht="15.75" spans="1:4">
      <c r="A6" s="110" t="s">
        <v>181</v>
      </c>
      <c r="B6" s="110"/>
      <c r="C6" s="110"/>
      <c r="D6" s="110"/>
    </row>
    <row r="7" ht="15.75" spans="1:4">
      <c r="A7" s="111" t="s">
        <v>42</v>
      </c>
      <c r="B7" s="112" t="s">
        <v>182</v>
      </c>
      <c r="C7" s="113" t="s">
        <v>183</v>
      </c>
      <c r="D7" s="113"/>
    </row>
    <row r="8" spans="1:4">
      <c r="A8" s="114" t="s">
        <v>45</v>
      </c>
      <c r="B8" s="115" t="s">
        <v>184</v>
      </c>
      <c r="C8" s="116" t="s">
        <v>185</v>
      </c>
      <c r="D8" s="116"/>
    </row>
    <row r="9" spans="1:4">
      <c r="A9" s="117" t="s">
        <v>48</v>
      </c>
      <c r="B9" s="118" t="s">
        <v>186</v>
      </c>
      <c r="C9" s="116" t="s">
        <v>187</v>
      </c>
      <c r="D9" s="116"/>
    </row>
    <row r="10" spans="1:4">
      <c r="A10" s="114" t="s">
        <v>53</v>
      </c>
      <c r="B10" s="115" t="s">
        <v>188</v>
      </c>
      <c r="C10" s="116" t="s">
        <v>189</v>
      </c>
      <c r="D10" s="116"/>
    </row>
    <row r="11" ht="15.75" spans="1:4">
      <c r="A11" s="119" t="s">
        <v>190</v>
      </c>
      <c r="B11" s="119"/>
      <c r="C11" s="119"/>
      <c r="D11" s="119"/>
    </row>
    <row r="12" ht="16.5" spans="1:4">
      <c r="A12" s="120" t="s">
        <v>191</v>
      </c>
      <c r="B12" s="120"/>
      <c r="C12" s="119" t="s">
        <v>192</v>
      </c>
      <c r="D12" s="121" t="s">
        <v>193</v>
      </c>
    </row>
    <row r="13" ht="15.75" spans="1:4">
      <c r="A13" s="122" t="s">
        <v>240</v>
      </c>
      <c r="B13" s="122"/>
      <c r="C13" s="116" t="s">
        <v>195</v>
      </c>
      <c r="D13" s="123">
        <f>RESUMO!D5</f>
        <v>3</v>
      </c>
    </row>
    <row r="14" spans="1:4">
      <c r="A14" s="124"/>
      <c r="B14" s="124"/>
      <c r="C14" s="116"/>
      <c r="D14" s="125"/>
    </row>
    <row r="15" ht="15.75" spans="1:7">
      <c r="A15" s="119" t="s">
        <v>14</v>
      </c>
      <c r="B15" s="119"/>
      <c r="C15" s="119"/>
      <c r="D15" s="119"/>
      <c r="F15" s="126"/>
      <c r="G15" s="126"/>
    </row>
    <row r="16" ht="15.75" spans="1:4">
      <c r="A16" s="128" t="s">
        <v>16</v>
      </c>
      <c r="B16" t="s">
        <v>17</v>
      </c>
      <c r="C16" s="128" t="s">
        <v>18</v>
      </c>
      <c r="D16" s="128" t="s">
        <v>19</v>
      </c>
    </row>
    <row r="17" spans="1:4">
      <c r="A17" s="128">
        <v>1</v>
      </c>
      <c r="B17" t="s">
        <v>20</v>
      </c>
      <c r="C17" s="129" t="s">
        <v>102</v>
      </c>
      <c r="D17" s="129" t="str">
        <f>A13</f>
        <v>Copeiro(a)</v>
      </c>
    </row>
    <row r="18" spans="1:4">
      <c r="A18" s="128">
        <v>2</v>
      </c>
      <c r="B18" t="s">
        <v>23</v>
      </c>
      <c r="C18" s="129" t="s">
        <v>196</v>
      </c>
      <c r="D18" s="129" t="s">
        <v>241</v>
      </c>
    </row>
    <row r="19" spans="1:4">
      <c r="A19" s="128">
        <v>3</v>
      </c>
      <c r="B19" t="s">
        <v>26</v>
      </c>
      <c r="C19" s="129" t="str">
        <f>C9</f>
        <v>CCT PB000517/2021</v>
      </c>
      <c r="D19" s="130">
        <v>1213.74</v>
      </c>
    </row>
    <row r="20" spans="1:4">
      <c r="A20" s="128">
        <v>4</v>
      </c>
      <c r="B20" t="s">
        <v>29</v>
      </c>
      <c r="C20" s="129" t="str">
        <f>C9</f>
        <v>CCT PB000517/2021</v>
      </c>
      <c r="D20" s="131" t="s">
        <v>198</v>
      </c>
    </row>
    <row r="21" spans="1:4">
      <c r="A21" s="128">
        <v>5</v>
      </c>
      <c r="B21" t="s">
        <v>33</v>
      </c>
      <c r="C21" s="129" t="str">
        <f>C9</f>
        <v>CCT PB000517/2021</v>
      </c>
      <c r="D21" s="132" t="s">
        <v>199</v>
      </c>
    </row>
    <row r="22" spans="6:7">
      <c r="F22" s="126"/>
      <c r="G22" s="126"/>
    </row>
    <row r="23" spans="1:4">
      <c r="A23" s="110" t="s">
        <v>36</v>
      </c>
      <c r="B23" s="110"/>
      <c r="C23" s="110"/>
      <c r="D23" s="110"/>
    </row>
    <row r="24" spans="1:7">
      <c r="A24" s="128" t="s">
        <v>39</v>
      </c>
      <c r="B24" s="133" t="s">
        <v>40</v>
      </c>
      <c r="C24" s="128" t="s">
        <v>18</v>
      </c>
      <c r="D24" s="128" t="s">
        <v>19</v>
      </c>
      <c r="G24" s="179"/>
    </row>
    <row r="25" spans="1:7">
      <c r="A25" s="128" t="s">
        <v>42</v>
      </c>
      <c r="B25" t="s">
        <v>43</v>
      </c>
      <c r="C25" s="131" t="s">
        <v>242</v>
      </c>
      <c r="D25" s="130">
        <f>D19</f>
        <v>1213.74</v>
      </c>
      <c r="G25" s="179"/>
    </row>
    <row r="26" spans="1:7">
      <c r="A26" s="128" t="s">
        <v>45</v>
      </c>
      <c r="B26" t="s">
        <v>46</v>
      </c>
      <c r="C26" s="131"/>
      <c r="D26" s="146">
        <v>0</v>
      </c>
      <c r="G26" s="179"/>
    </row>
    <row r="27" spans="1:4">
      <c r="A27" s="128" t="s">
        <v>48</v>
      </c>
      <c r="B27" t="s">
        <v>49</v>
      </c>
      <c r="C27" s="131"/>
      <c r="D27" s="130">
        <v>0</v>
      </c>
    </row>
    <row r="28" spans="1:4">
      <c r="A28" s="128" t="s">
        <v>50</v>
      </c>
      <c r="B28" t="s">
        <v>51</v>
      </c>
      <c r="C28" s="131"/>
      <c r="D28" s="130">
        <v>0</v>
      </c>
    </row>
    <row r="29" spans="1:4">
      <c r="A29" s="128" t="s">
        <v>53</v>
      </c>
      <c r="B29" t="s">
        <v>54</v>
      </c>
      <c r="C29" s="131"/>
      <c r="D29" s="130">
        <v>0</v>
      </c>
    </row>
    <row r="30" spans="1:4">
      <c r="A30" s="128" t="s">
        <v>55</v>
      </c>
      <c r="B30" t="s">
        <v>56</v>
      </c>
      <c r="C30" s="131"/>
      <c r="D30" s="130">
        <v>0</v>
      </c>
    </row>
    <row r="31" spans="1:7">
      <c r="A31" s="128" t="s">
        <v>58</v>
      </c>
      <c r="C31" s="128"/>
      <c r="D31" s="135">
        <f>TRUNC(SUM(D25:D30),2)</f>
        <v>1213.74</v>
      </c>
      <c r="F31" s="126"/>
      <c r="G31" s="126"/>
    </row>
    <row r="33" spans="1:7">
      <c r="A33" s="136" t="s">
        <v>61</v>
      </c>
      <c r="B33" s="136"/>
      <c r="C33" s="136"/>
      <c r="D33" s="136"/>
      <c r="G33" s="179"/>
    </row>
    <row r="35" spans="1:4">
      <c r="A35" s="126" t="s">
        <v>63</v>
      </c>
      <c r="B35" s="126"/>
      <c r="C35" s="126"/>
      <c r="D35" s="126"/>
    </row>
    <row r="36" spans="1:4">
      <c r="A36" s="128" t="s">
        <v>65</v>
      </c>
      <c r="B36" s="133" t="s">
        <v>66</v>
      </c>
      <c r="C36" s="128" t="s">
        <v>38</v>
      </c>
      <c r="D36" s="128" t="s">
        <v>19</v>
      </c>
    </row>
    <row r="37" spans="1:7">
      <c r="A37" s="128" t="s">
        <v>42</v>
      </c>
      <c r="B37" t="s">
        <v>67</v>
      </c>
      <c r="C37" s="137">
        <f>(1/12)</f>
        <v>0.0833333333333333</v>
      </c>
      <c r="D37" s="135">
        <f>TRUNC($D$31*C37,2)</f>
        <v>101.14</v>
      </c>
      <c r="F37" s="138"/>
      <c r="G37" s="138"/>
    </row>
    <row r="38" spans="1:7">
      <c r="A38" s="128" t="s">
        <v>45</v>
      </c>
      <c r="B38" t="s">
        <v>68</v>
      </c>
      <c r="C38" s="137">
        <f>(((1+1/3)/12))</f>
        <v>0.111111111111111</v>
      </c>
      <c r="D38" s="135">
        <f>TRUNC($D$31*C38,2)</f>
        <v>134.86</v>
      </c>
      <c r="F38" s="138"/>
      <c r="G38" s="138"/>
    </row>
    <row r="39" spans="1:7">
      <c r="A39" s="128" t="s">
        <v>58</v>
      </c>
      <c r="D39" s="135">
        <f>TRUNC((SUM(D37:D38)),2)</f>
        <v>236</v>
      </c>
      <c r="F39" s="138"/>
      <c r="G39" s="138"/>
    </row>
    <row r="40" ht="15.75" spans="4:7">
      <c r="D40" s="135"/>
      <c r="F40" s="138"/>
      <c r="G40" s="138"/>
    </row>
    <row r="41" ht="16.5" spans="1:7">
      <c r="A41" s="139" t="s">
        <v>201</v>
      </c>
      <c r="B41" s="139"/>
      <c r="C41" s="140" t="s">
        <v>202</v>
      </c>
      <c r="D41" s="141">
        <f>D31</f>
        <v>1213.74</v>
      </c>
      <c r="F41" s="138"/>
      <c r="G41" s="138"/>
    </row>
    <row r="42" ht="16.5" spans="1:7">
      <c r="A42" s="139"/>
      <c r="B42" s="139"/>
      <c r="C42" s="142" t="s">
        <v>203</v>
      </c>
      <c r="D42" s="141">
        <f>D39</f>
        <v>236</v>
      </c>
      <c r="F42" s="138"/>
      <c r="G42" s="138"/>
    </row>
    <row r="43" ht="16.5" spans="1:7">
      <c r="A43" s="139"/>
      <c r="B43" s="139"/>
      <c r="C43" s="140" t="s">
        <v>204</v>
      </c>
      <c r="D43" s="143">
        <f>TRUNC((SUM(D41:D42)),2)</f>
        <v>1449.74</v>
      </c>
      <c r="F43" s="138"/>
      <c r="G43" s="138"/>
    </row>
    <row r="44" ht="15.75" spans="1:7">
      <c r="A44" s="128"/>
      <c r="C44" s="144"/>
      <c r="D44" s="135"/>
      <c r="F44" s="138"/>
      <c r="G44" s="138"/>
    </row>
    <row r="45" spans="1:4">
      <c r="A45" s="126" t="s">
        <v>77</v>
      </c>
      <c r="B45" s="126"/>
      <c r="C45" s="126"/>
      <c r="D45" s="126"/>
    </row>
    <row r="46" spans="1:4">
      <c r="A46" s="128" t="s">
        <v>78</v>
      </c>
      <c r="B46" s="133" t="s">
        <v>79</v>
      </c>
      <c r="C46" s="128" t="s">
        <v>38</v>
      </c>
      <c r="D46" s="128" t="s">
        <v>80</v>
      </c>
    </row>
    <row r="47" spans="1:4">
      <c r="A47" s="128" t="s">
        <v>42</v>
      </c>
      <c r="B47" t="s">
        <v>81</v>
      </c>
      <c r="C47" s="137">
        <v>0.2</v>
      </c>
      <c r="D47" s="135">
        <f t="shared" ref="D47:D54" si="0">TRUNC(($D$43*C47),2)</f>
        <v>289.94</v>
      </c>
    </row>
    <row r="48" spans="1:4">
      <c r="A48" s="128" t="s">
        <v>45</v>
      </c>
      <c r="B48" t="s">
        <v>82</v>
      </c>
      <c r="C48" s="137">
        <v>0.025</v>
      </c>
      <c r="D48" s="135">
        <f t="shared" si="0"/>
        <v>36.24</v>
      </c>
    </row>
    <row r="49" spans="1:4">
      <c r="A49" s="128" t="s">
        <v>48</v>
      </c>
      <c r="B49" t="s">
        <v>205</v>
      </c>
      <c r="C49" s="145">
        <v>0.06</v>
      </c>
      <c r="D49" s="130">
        <f t="shared" si="0"/>
        <v>86.98</v>
      </c>
    </row>
    <row r="50" spans="1:4">
      <c r="A50" s="128" t="s">
        <v>50</v>
      </c>
      <c r="B50" t="s">
        <v>84</v>
      </c>
      <c r="C50" s="137">
        <v>0.015</v>
      </c>
      <c r="D50" s="135">
        <f t="shared" si="0"/>
        <v>21.74</v>
      </c>
    </row>
    <row r="51" spans="1:4">
      <c r="A51" s="128" t="s">
        <v>53</v>
      </c>
      <c r="B51" t="s">
        <v>85</v>
      </c>
      <c r="C51" s="137">
        <v>0.01</v>
      </c>
      <c r="D51" s="135">
        <f t="shared" si="0"/>
        <v>14.49</v>
      </c>
    </row>
    <row r="52" spans="1:4">
      <c r="A52" s="128" t="s">
        <v>55</v>
      </c>
      <c r="B52" t="s">
        <v>86</v>
      </c>
      <c r="C52" s="137">
        <v>0.006</v>
      </c>
      <c r="D52" s="135">
        <f t="shared" si="0"/>
        <v>8.69</v>
      </c>
    </row>
    <row r="53" spans="1:4">
      <c r="A53" s="128" t="s">
        <v>87</v>
      </c>
      <c r="B53" t="s">
        <v>88</v>
      </c>
      <c r="C53" s="137">
        <v>0.002</v>
      </c>
      <c r="D53" s="135">
        <f t="shared" si="0"/>
        <v>2.89</v>
      </c>
    </row>
    <row r="54" spans="1:4">
      <c r="A54" s="128" t="s">
        <v>89</v>
      </c>
      <c r="B54" t="s">
        <v>90</v>
      </c>
      <c r="C54" s="137">
        <v>0.08</v>
      </c>
      <c r="D54" s="135">
        <f t="shared" si="0"/>
        <v>115.97</v>
      </c>
    </row>
    <row r="55" spans="1:4">
      <c r="A55" s="128" t="s">
        <v>58</v>
      </c>
      <c r="C55" s="144">
        <f>SUM(C47:C54)</f>
        <v>0.398</v>
      </c>
      <c r="D55" s="135">
        <f>TRUNC((SUM(D47:D54)),2)</f>
        <v>576.94</v>
      </c>
    </row>
    <row r="56" spans="1:4">
      <c r="A56" s="128"/>
      <c r="C56" s="144"/>
      <c r="D56" s="135"/>
    </row>
    <row r="57" spans="1:4">
      <c r="A57" s="126" t="s">
        <v>95</v>
      </c>
      <c r="B57" s="126"/>
      <c r="C57" s="126"/>
      <c r="D57" s="126"/>
    </row>
    <row r="58" spans="1:4">
      <c r="A58" s="128" t="s">
        <v>96</v>
      </c>
      <c r="B58" s="133" t="s">
        <v>97</v>
      </c>
      <c r="C58" s="128" t="s">
        <v>18</v>
      </c>
      <c r="D58" s="128" t="s">
        <v>19</v>
      </c>
    </row>
    <row r="59" spans="1:4">
      <c r="A59" s="128" t="s">
        <v>42</v>
      </c>
      <c r="B59" t="s">
        <v>98</v>
      </c>
      <c r="C59" s="129"/>
      <c r="D59" s="146">
        <f>TRUNC(((22*4.4)*2)-((D25/100)*6),2)</f>
        <v>120.77</v>
      </c>
    </row>
    <row r="60" spans="1:4">
      <c r="A60" s="128" t="s">
        <v>45</v>
      </c>
      <c r="B60" t="s">
        <v>99</v>
      </c>
      <c r="C60" s="129" t="str">
        <f>C9</f>
        <v>CCT PB000517/2021</v>
      </c>
      <c r="D60" s="130">
        <f>TRUNC((((460))-(((460))*0.2)),2)</f>
        <v>368</v>
      </c>
    </row>
    <row r="61" spans="1:4">
      <c r="A61" s="128" t="s">
        <v>48</v>
      </c>
      <c r="B61" t="s">
        <v>100</v>
      </c>
      <c r="C61" s="129"/>
      <c r="D61" s="130">
        <v>0</v>
      </c>
    </row>
    <row r="62" spans="1:6">
      <c r="A62" s="147" t="s">
        <v>50</v>
      </c>
      <c r="B62" s="148" t="s">
        <v>206</v>
      </c>
      <c r="C62" s="149"/>
      <c r="D62" s="149">
        <v>0</v>
      </c>
      <c r="F62" s="148"/>
    </row>
    <row r="63" spans="1:4">
      <c r="A63" s="147" t="s">
        <v>53</v>
      </c>
      <c r="B63" s="133" t="s">
        <v>207</v>
      </c>
      <c r="C63" s="129" t="s">
        <v>187</v>
      </c>
      <c r="D63" s="130">
        <v>20</v>
      </c>
    </row>
    <row r="64" spans="1:4">
      <c r="A64" s="147" t="s">
        <v>55</v>
      </c>
      <c r="B64" s="150" t="s">
        <v>208</v>
      </c>
      <c r="C64" s="129" t="s">
        <v>187</v>
      </c>
      <c r="D64" s="130">
        <v>5</v>
      </c>
    </row>
    <row r="65" spans="1:4">
      <c r="A65" s="147" t="s">
        <v>87</v>
      </c>
      <c r="B65" s="150" t="s">
        <v>209</v>
      </c>
      <c r="C65" s="149" t="s">
        <v>187</v>
      </c>
      <c r="D65" s="130">
        <v>40</v>
      </c>
    </row>
    <row r="66" spans="1:4">
      <c r="A66" s="128" t="s">
        <v>58</v>
      </c>
      <c r="D66" s="135">
        <f>TRUNC((SUM(D59:D65)),2)</f>
        <v>553.77</v>
      </c>
    </row>
    <row r="67" spans="1:4">
      <c r="A67" s="128"/>
      <c r="D67" s="135"/>
    </row>
    <row r="68" spans="1:4">
      <c r="A68" s="126" t="s">
        <v>105</v>
      </c>
      <c r="B68" s="126"/>
      <c r="C68" s="126"/>
      <c r="D68" s="126"/>
    </row>
    <row r="69" spans="1:4">
      <c r="A69" s="128" t="s">
        <v>106</v>
      </c>
      <c r="B69" s="133" t="s">
        <v>107</v>
      </c>
      <c r="C69" s="128" t="s">
        <v>18</v>
      </c>
      <c r="D69" s="128" t="s">
        <v>19</v>
      </c>
    </row>
    <row r="70" spans="1:4">
      <c r="A70" s="128" t="s">
        <v>65</v>
      </c>
      <c r="B70" t="s">
        <v>66</v>
      </c>
      <c r="C70" s="128"/>
      <c r="D70" s="135">
        <f>D39</f>
        <v>236</v>
      </c>
    </row>
    <row r="71" spans="1:4">
      <c r="A71" s="128" t="s">
        <v>78</v>
      </c>
      <c r="B71" t="s">
        <v>79</v>
      </c>
      <c r="C71" s="128"/>
      <c r="D71" s="135">
        <f>D55</f>
        <v>576.94</v>
      </c>
    </row>
    <row r="72" spans="1:4">
      <c r="A72" s="128" t="s">
        <v>96</v>
      </c>
      <c r="B72" t="s">
        <v>97</v>
      </c>
      <c r="C72" s="128"/>
      <c r="D72" s="135">
        <f>D66</f>
        <v>553.77</v>
      </c>
    </row>
    <row r="73" spans="1:4">
      <c r="A73" s="128" t="s">
        <v>58</v>
      </c>
      <c r="C73" s="128"/>
      <c r="D73" s="135">
        <f>TRUNC((SUM(D70:D72)),2)</f>
        <v>1366.71</v>
      </c>
    </row>
    <row r="75" spans="1:4">
      <c r="A75" s="110" t="s">
        <v>108</v>
      </c>
      <c r="B75" s="110"/>
      <c r="C75" s="110"/>
      <c r="D75" s="110"/>
    </row>
    <row r="76" spans="1:4">
      <c r="A76" s="128" t="s">
        <v>109</v>
      </c>
      <c r="B76" s="133" t="s">
        <v>110</v>
      </c>
      <c r="C76" s="128" t="s">
        <v>38</v>
      </c>
      <c r="D76" s="128" t="s">
        <v>19</v>
      </c>
    </row>
    <row r="77" spans="1:4">
      <c r="A77" s="128" t="s">
        <v>42</v>
      </c>
      <c r="B77" t="s">
        <v>111</v>
      </c>
      <c r="C77" s="145">
        <f>((1/12)*2%)</f>
        <v>0.00166666666666667</v>
      </c>
      <c r="D77" s="185">
        <f>TRUNC(($D$31*C77),2)</f>
        <v>2.02</v>
      </c>
    </row>
    <row r="78" spans="1:4">
      <c r="A78" s="128" t="s">
        <v>45</v>
      </c>
      <c r="B78" t="s">
        <v>112</v>
      </c>
      <c r="C78" s="151">
        <v>0.08</v>
      </c>
      <c r="D78" s="180">
        <f>TRUNC(($D$77*C78),2)</f>
        <v>0.16</v>
      </c>
    </row>
    <row r="79" ht="30" spans="1:4">
      <c r="A79" s="128" t="s">
        <v>48</v>
      </c>
      <c r="B79" s="152" t="s">
        <v>113</v>
      </c>
      <c r="C79" s="153">
        <f>(0.08*0.4*0.02)</f>
        <v>0.00064</v>
      </c>
      <c r="D79" s="185">
        <f>TRUNC(($D$31*C79),2)</f>
        <v>0.77</v>
      </c>
    </row>
    <row r="80" spans="1:4">
      <c r="A80" s="128" t="s">
        <v>50</v>
      </c>
      <c r="B80" t="s">
        <v>114</v>
      </c>
      <c r="C80" s="154">
        <f>(((7/30)/12)*0.98)</f>
        <v>0.0190555555555556</v>
      </c>
      <c r="D80" s="186">
        <f>TRUNC(($D$31*C80),2)</f>
        <v>23.12</v>
      </c>
    </row>
    <row r="81" ht="30" spans="1:4">
      <c r="A81" s="128" t="s">
        <v>53</v>
      </c>
      <c r="B81" s="152" t="s">
        <v>210</v>
      </c>
      <c r="C81" s="153">
        <f>C55</f>
        <v>0.398</v>
      </c>
      <c r="D81" s="185">
        <f>TRUNC(($D$80*C81),2)</f>
        <v>9.2</v>
      </c>
    </row>
    <row r="82" ht="30" spans="1:4">
      <c r="A82" s="128" t="s">
        <v>55</v>
      </c>
      <c r="B82" s="152" t="s">
        <v>115</v>
      </c>
      <c r="C82" s="154">
        <f>(0.08*0.4*0.98)</f>
        <v>0.03136</v>
      </c>
      <c r="D82" s="185">
        <f>TRUNC(($D$31*C82),2)</f>
        <v>38.06</v>
      </c>
    </row>
    <row r="83" spans="1:4">
      <c r="A83" s="128" t="s">
        <v>58</v>
      </c>
      <c r="C83" s="151">
        <f>SUM(C77:C82)</f>
        <v>0.530722222222222</v>
      </c>
      <c r="D83" s="135">
        <f>TRUNC((SUM(D77:D82)),2)</f>
        <v>73.33</v>
      </c>
    </row>
    <row r="84" ht="15.75" spans="1:4">
      <c r="A84" s="128"/>
      <c r="D84" s="135"/>
    </row>
    <row r="85" ht="16.5" spans="1:4">
      <c r="A85" s="139" t="s">
        <v>211</v>
      </c>
      <c r="B85" s="139"/>
      <c r="C85" s="140" t="s">
        <v>202</v>
      </c>
      <c r="D85" s="141">
        <f>D31</f>
        <v>1213.74</v>
      </c>
    </row>
    <row r="86" ht="16.5" spans="1:4">
      <c r="A86" s="139"/>
      <c r="B86" s="139"/>
      <c r="C86" s="142" t="s">
        <v>212</v>
      </c>
      <c r="D86" s="141">
        <f>D73</f>
        <v>1366.71</v>
      </c>
    </row>
    <row r="87" ht="16.5" spans="1:4">
      <c r="A87" s="139"/>
      <c r="B87" s="139"/>
      <c r="C87" s="140" t="s">
        <v>213</v>
      </c>
      <c r="D87" s="141">
        <f>D83</f>
        <v>73.33</v>
      </c>
    </row>
    <row r="88" ht="16.5" spans="1:4">
      <c r="A88" s="139"/>
      <c r="B88" s="139"/>
      <c r="C88" s="142" t="s">
        <v>204</v>
      </c>
      <c r="D88" s="143">
        <f>TRUNC((SUM(D85:D87)),2)</f>
        <v>2653.78</v>
      </c>
    </row>
    <row r="89" ht="15.75" spans="1:4">
      <c r="A89" s="128"/>
      <c r="D89" s="135"/>
    </row>
    <row r="90" spans="1:4">
      <c r="A90" s="156" t="s">
        <v>127</v>
      </c>
      <c r="B90" s="156"/>
      <c r="C90" s="156"/>
      <c r="D90" s="156"/>
    </row>
    <row r="91" spans="1:4">
      <c r="A91" s="126" t="s">
        <v>128</v>
      </c>
      <c r="B91" s="126"/>
      <c r="C91" s="126"/>
      <c r="D91" s="126"/>
    </row>
    <row r="92" spans="1:4">
      <c r="A92" s="128" t="s">
        <v>129</v>
      </c>
      <c r="B92" s="133" t="s">
        <v>130</v>
      </c>
      <c r="C92" s="128" t="s">
        <v>38</v>
      </c>
      <c r="D92" s="128" t="s">
        <v>19</v>
      </c>
    </row>
    <row r="93" spans="1:4">
      <c r="A93" s="128" t="s">
        <v>42</v>
      </c>
      <c r="B93" t="s">
        <v>214</v>
      </c>
      <c r="C93" s="151">
        <f>(((1+1/3)/12)/12)+((1/12)/12)</f>
        <v>0.0162037037037037</v>
      </c>
      <c r="D93" s="135">
        <f>TRUNC(($D$88*C93),2)</f>
        <v>43</v>
      </c>
    </row>
    <row r="94" spans="1:4">
      <c r="A94" s="128" t="s">
        <v>45</v>
      </c>
      <c r="B94" t="s">
        <v>133</v>
      </c>
      <c r="C94" s="145">
        <f>((5/30)/12)</f>
        <v>0.0138888888888889</v>
      </c>
      <c r="D94" s="149">
        <f t="shared" ref="D93:D97" si="1">TRUNC(($D$88*C94),2)</f>
        <v>36.85</v>
      </c>
    </row>
    <row r="95" spans="1:4">
      <c r="A95" s="128" t="s">
        <v>48</v>
      </c>
      <c r="B95" t="s">
        <v>134</v>
      </c>
      <c r="C95" s="145">
        <f>((5/30)/12)*0.02</f>
        <v>0.000277777777777778</v>
      </c>
      <c r="D95" s="149">
        <f t="shared" si="1"/>
        <v>0.73</v>
      </c>
    </row>
    <row r="96" ht="30" spans="1:4">
      <c r="A96" s="147" t="s">
        <v>50</v>
      </c>
      <c r="B96" s="152" t="s">
        <v>135</v>
      </c>
      <c r="C96" s="153">
        <f>((15/30)/12)*0.08</f>
        <v>0.00333333333333333</v>
      </c>
      <c r="D96" s="149">
        <f t="shared" si="1"/>
        <v>8.84</v>
      </c>
    </row>
    <row r="97" spans="1:4">
      <c r="A97" s="128" t="s">
        <v>53</v>
      </c>
      <c r="B97" t="s">
        <v>136</v>
      </c>
      <c r="C97" s="145">
        <f>((1+1/3)/12)*0.03*((4/12))</f>
        <v>0.00111111111111111</v>
      </c>
      <c r="D97" s="149">
        <f t="shared" si="1"/>
        <v>2.94</v>
      </c>
    </row>
    <row r="98" ht="30" spans="1:4">
      <c r="A98" s="128" t="s">
        <v>55</v>
      </c>
      <c r="B98" s="152" t="s">
        <v>215</v>
      </c>
      <c r="C98" s="157">
        <v>0</v>
      </c>
      <c r="D98" s="149">
        <f>TRUNC($D$88*C98)</f>
        <v>0</v>
      </c>
    </row>
    <row r="99" spans="1:4">
      <c r="A99" s="128" t="s">
        <v>58</v>
      </c>
      <c r="C99" s="151">
        <f>SUM(C93:C98)</f>
        <v>0.0348148148148148</v>
      </c>
      <c r="D99" s="135">
        <f>TRUNC((SUM(D93:D98)),2)</f>
        <v>92.36</v>
      </c>
    </row>
    <row r="100" spans="1:4">
      <c r="A100" s="128"/>
      <c r="C100" s="128"/>
      <c r="D100" s="135"/>
    </row>
    <row r="101" spans="1:4">
      <c r="A101" s="126" t="s">
        <v>144</v>
      </c>
      <c r="B101" s="126"/>
      <c r="C101" s="126"/>
      <c r="D101" s="126"/>
    </row>
    <row r="102" spans="1:4">
      <c r="A102" s="128" t="s">
        <v>145</v>
      </c>
      <c r="B102" s="133" t="s">
        <v>146</v>
      </c>
      <c r="C102" s="128" t="s">
        <v>18</v>
      </c>
      <c r="D102" s="128" t="s">
        <v>19</v>
      </c>
    </row>
    <row r="103" ht="90" spans="1:4">
      <c r="A103" s="147" t="s">
        <v>42</v>
      </c>
      <c r="B103" s="158" t="s">
        <v>147</v>
      </c>
      <c r="C103" s="159" t="s">
        <v>216</v>
      </c>
      <c r="D103" s="187" t="s">
        <v>217</v>
      </c>
    </row>
    <row r="104" spans="1:4">
      <c r="A104" s="128" t="s">
        <v>58</v>
      </c>
      <c r="C104" s="161"/>
      <c r="D104" s="188" t="str">
        <f>D103</f>
        <v>*=TRUNCAR(($D$86/220)*(1*(365/12))/2)</v>
      </c>
    </row>
    <row r="106" spans="1:4">
      <c r="A106" s="126" t="s">
        <v>148</v>
      </c>
      <c r="B106" s="126"/>
      <c r="C106" s="126"/>
      <c r="D106" s="126"/>
    </row>
    <row r="107" spans="1:4">
      <c r="A107" s="128" t="s">
        <v>149</v>
      </c>
      <c r="B107" s="133" t="s">
        <v>150</v>
      </c>
      <c r="C107" s="128" t="s">
        <v>18</v>
      </c>
      <c r="D107" s="128" t="s">
        <v>19</v>
      </c>
    </row>
    <row r="108" spans="1:4">
      <c r="A108" s="128" t="s">
        <v>129</v>
      </c>
      <c r="B108" t="s">
        <v>130</v>
      </c>
      <c r="D108" s="130">
        <f>D99</f>
        <v>92.36</v>
      </c>
    </row>
    <row r="109" spans="1:4">
      <c r="A109" s="128" t="s">
        <v>145</v>
      </c>
      <c r="B109" t="s">
        <v>151</v>
      </c>
      <c r="C109" s="133"/>
      <c r="D109" s="163" t="str">
        <f>Submódulo4.260_42[[#Totals],[Valor]]</f>
        <v>*=TRUNCAR(($D$86/220)*(1*(365/12))/2)</v>
      </c>
    </row>
    <row r="110" ht="60" spans="1:4">
      <c r="A110" s="147" t="s">
        <v>58</v>
      </c>
      <c r="B110" s="148"/>
      <c r="C110" s="159" t="s">
        <v>218</v>
      </c>
      <c r="D110" s="164">
        <f>TRUNC((SUM(D108:D109)),2)</f>
        <v>92.36</v>
      </c>
    </row>
    <row r="112" spans="1:4">
      <c r="A112" s="110" t="s">
        <v>152</v>
      </c>
      <c r="B112" s="110"/>
      <c r="C112" s="110"/>
      <c r="D112" s="110"/>
    </row>
    <row r="113" spans="1:4">
      <c r="A113" s="128" t="s">
        <v>153</v>
      </c>
      <c r="B113" s="133" t="s">
        <v>154</v>
      </c>
      <c r="C113" s="128" t="s">
        <v>18</v>
      </c>
      <c r="D113" s="128" t="s">
        <v>19</v>
      </c>
    </row>
    <row r="114" spans="1:4">
      <c r="A114" s="128" t="s">
        <v>42</v>
      </c>
      <c r="B114" t="s">
        <v>219</v>
      </c>
      <c r="D114" s="165">
        <f>Uniformes!G41</f>
        <v>75.51</v>
      </c>
    </row>
    <row r="115" spans="1:4">
      <c r="A115" s="128" t="s">
        <v>45</v>
      </c>
      <c r="B115" t="s">
        <v>220</v>
      </c>
      <c r="D115" s="165">
        <v>0</v>
      </c>
    </row>
    <row r="116" spans="1:4">
      <c r="A116" s="128" t="s">
        <v>48</v>
      </c>
      <c r="B116" t="s">
        <v>156</v>
      </c>
      <c r="D116" s="165">
        <v>0</v>
      </c>
    </row>
    <row r="117" spans="1:4">
      <c r="A117" s="128" t="s">
        <v>50</v>
      </c>
      <c r="B117" t="s">
        <v>157</v>
      </c>
      <c r="D117" s="165">
        <v>0</v>
      </c>
    </row>
    <row r="118" spans="1:4">
      <c r="A118" s="128" t="s">
        <v>53</v>
      </c>
      <c r="B118" t="s">
        <v>221</v>
      </c>
      <c r="D118" s="165">
        <f>H116</f>
        <v>0</v>
      </c>
    </row>
    <row r="119" spans="1:4">
      <c r="A119" s="128" t="s">
        <v>58</v>
      </c>
      <c r="D119" s="166">
        <f>TRUNC(SUM(D114:D118),2)</f>
        <v>75.51</v>
      </c>
    </row>
    <row r="120" ht="15.75"/>
    <row r="121" ht="16.5" spans="1:4">
      <c r="A121" s="139" t="s">
        <v>222</v>
      </c>
      <c r="B121" s="139"/>
      <c r="C121" s="140" t="s">
        <v>202</v>
      </c>
      <c r="D121" s="141">
        <f>D31</f>
        <v>1213.74</v>
      </c>
    </row>
    <row r="122" ht="16.5" spans="1:4">
      <c r="A122" s="139"/>
      <c r="B122" s="139"/>
      <c r="C122" s="142" t="s">
        <v>212</v>
      </c>
      <c r="D122" s="141">
        <f>D73</f>
        <v>1366.71</v>
      </c>
    </row>
    <row r="123" ht="16.5" spans="1:4">
      <c r="A123" s="139"/>
      <c r="B123" s="139"/>
      <c r="C123" s="140" t="s">
        <v>213</v>
      </c>
      <c r="D123" s="141">
        <f>D83</f>
        <v>73.33</v>
      </c>
    </row>
    <row r="124" ht="16.5" spans="1:4">
      <c r="A124" s="139"/>
      <c r="B124" s="139"/>
      <c r="C124" s="142" t="s">
        <v>223</v>
      </c>
      <c r="D124" s="141">
        <f>D110</f>
        <v>92.36</v>
      </c>
    </row>
    <row r="125" ht="16.5" spans="1:4">
      <c r="A125" s="139"/>
      <c r="B125" s="139"/>
      <c r="C125" s="140" t="s">
        <v>224</v>
      </c>
      <c r="D125" s="141">
        <f>D119</f>
        <v>75.51</v>
      </c>
    </row>
    <row r="126" ht="16.5" spans="1:4">
      <c r="A126" s="139"/>
      <c r="B126" s="139"/>
      <c r="C126" s="142" t="s">
        <v>204</v>
      </c>
      <c r="D126" s="143">
        <f>TRUNC((SUM(D121:D125)),2)</f>
        <v>2821.65</v>
      </c>
    </row>
    <row r="127" ht="15.75"/>
    <row r="128" ht="15.75" spans="1:7">
      <c r="A128" s="110" t="s">
        <v>164</v>
      </c>
      <c r="B128" s="110"/>
      <c r="C128" s="110"/>
      <c r="D128" s="110"/>
      <c r="F128" s="167" t="s">
        <v>225</v>
      </c>
      <c r="G128" s="167"/>
    </row>
    <row r="129" ht="15.75" spans="1:7">
      <c r="A129" s="128" t="s">
        <v>165</v>
      </c>
      <c r="B129" t="s">
        <v>166</v>
      </c>
      <c r="C129" s="128" t="s">
        <v>38</v>
      </c>
      <c r="D129" s="128" t="s">
        <v>19</v>
      </c>
      <c r="F129" s="169" t="s">
        <v>226</v>
      </c>
      <c r="G129" s="153">
        <f>C132</f>
        <v>0.0865</v>
      </c>
    </row>
    <row r="130" ht="15.75" spans="1:7">
      <c r="A130" s="128" t="s">
        <v>42</v>
      </c>
      <c r="B130" t="s">
        <v>167</v>
      </c>
      <c r="C130" s="168">
        <v>0.04</v>
      </c>
      <c r="D130" s="165">
        <f>TRUNC(($D$126*C130),2)</f>
        <v>112.86</v>
      </c>
      <c r="F130" s="170" t="s">
        <v>227</v>
      </c>
      <c r="G130" s="189">
        <f>TRUNC(SUM(D126,D130,D131),2)</f>
        <v>3081.23</v>
      </c>
    </row>
    <row r="131" ht="15.75" spans="1:7">
      <c r="A131" s="128" t="s">
        <v>45</v>
      </c>
      <c r="B131" t="s">
        <v>59</v>
      </c>
      <c r="C131" s="168">
        <v>0.05</v>
      </c>
      <c r="D131" s="165">
        <f>TRUNC((C131*(D126+D130)),2)</f>
        <v>146.72</v>
      </c>
      <c r="F131" s="169" t="s">
        <v>228</v>
      </c>
      <c r="G131" s="172">
        <f>(100-8.65)/100</f>
        <v>0.9135</v>
      </c>
    </row>
    <row r="132" ht="15.75" spans="1:7">
      <c r="A132" s="128" t="s">
        <v>48</v>
      </c>
      <c r="B132" t="s">
        <v>168</v>
      </c>
      <c r="C132" s="145">
        <f>SUM(C133:C135)</f>
        <v>0.0865</v>
      </c>
      <c r="D132" s="130">
        <f>TRUNC((SUM(D133:D135)),2)</f>
        <v>291.74</v>
      </c>
      <c r="F132" s="170" t="s">
        <v>225</v>
      </c>
      <c r="G132" s="189">
        <f>TRUNC((G130/G131),2)</f>
        <v>3372.99</v>
      </c>
    </row>
    <row r="133" ht="15.75" spans="1:4">
      <c r="A133" s="128"/>
      <c r="B133" t="s">
        <v>229</v>
      </c>
      <c r="C133" s="145">
        <v>0.0065</v>
      </c>
      <c r="D133" s="130">
        <f t="shared" ref="D133:D135" si="2">TRUNC(($G$132*C133),2)</f>
        <v>21.92</v>
      </c>
    </row>
    <row r="134" spans="1:4">
      <c r="A134" s="128"/>
      <c r="B134" t="s">
        <v>230</v>
      </c>
      <c r="C134" s="145">
        <v>0.03</v>
      </c>
      <c r="D134" s="130">
        <f t="shared" si="2"/>
        <v>101.18</v>
      </c>
    </row>
    <row r="135" spans="1:4">
      <c r="A135" s="128"/>
      <c r="B135" t="s">
        <v>231</v>
      </c>
      <c r="C135" s="145">
        <v>0.05</v>
      </c>
      <c r="D135" s="130">
        <f t="shared" si="2"/>
        <v>168.64</v>
      </c>
    </row>
    <row r="136" spans="1:4">
      <c r="A136" s="128" t="s">
        <v>58</v>
      </c>
      <c r="C136" s="173"/>
      <c r="D136" s="135">
        <f>TRUNC(SUM(D130:D132),2)</f>
        <v>551.32</v>
      </c>
    </row>
    <row r="137" spans="1:4">
      <c r="A137" s="128"/>
      <c r="C137" s="173"/>
      <c r="D137" s="135"/>
    </row>
    <row r="139" spans="1:4">
      <c r="A139" s="110" t="s">
        <v>172</v>
      </c>
      <c r="B139" s="110"/>
      <c r="C139" s="110"/>
      <c r="D139" s="110"/>
    </row>
    <row r="140" spans="1:4">
      <c r="A140" s="128" t="s">
        <v>16</v>
      </c>
      <c r="B140" s="128" t="s">
        <v>173</v>
      </c>
      <c r="C140" s="128" t="s">
        <v>102</v>
      </c>
      <c r="D140" s="128" t="s">
        <v>19</v>
      </c>
    </row>
    <row r="141" spans="1:4">
      <c r="A141" s="128" t="s">
        <v>42</v>
      </c>
      <c r="B141" t="s">
        <v>36</v>
      </c>
      <c r="D141" s="135">
        <f>D31</f>
        <v>1213.74</v>
      </c>
    </row>
    <row r="142" spans="1:4">
      <c r="A142" s="128" t="s">
        <v>45</v>
      </c>
      <c r="B142" t="s">
        <v>61</v>
      </c>
      <c r="D142" s="135">
        <f>D73</f>
        <v>1366.71</v>
      </c>
    </row>
    <row r="143" spans="1:4">
      <c r="A143" s="128" t="s">
        <v>48</v>
      </c>
      <c r="B143" t="s">
        <v>108</v>
      </c>
      <c r="D143" s="135">
        <f>D83</f>
        <v>73.33</v>
      </c>
    </row>
    <row r="144" spans="1:4">
      <c r="A144" s="128" t="s">
        <v>50</v>
      </c>
      <c r="B144" t="s">
        <v>174</v>
      </c>
      <c r="D144" s="135">
        <f>D110</f>
        <v>92.36</v>
      </c>
    </row>
    <row r="145" spans="1:4">
      <c r="A145" s="128" t="s">
        <v>53</v>
      </c>
      <c r="B145" t="s">
        <v>152</v>
      </c>
      <c r="D145" s="135">
        <f>D119</f>
        <v>75.51</v>
      </c>
    </row>
    <row r="146" spans="2:4">
      <c r="B146" s="174" t="s">
        <v>232</v>
      </c>
      <c r="D146" s="135">
        <f>TRUNC(SUM(D141:D145),2)</f>
        <v>2821.65</v>
      </c>
    </row>
    <row r="147" spans="1:4">
      <c r="A147" s="128" t="s">
        <v>55</v>
      </c>
      <c r="B147" t="s">
        <v>164</v>
      </c>
      <c r="D147" s="135">
        <f>D136</f>
        <v>551.32</v>
      </c>
    </row>
    <row r="148" spans="1:4">
      <c r="A148" s="175"/>
      <c r="B148" s="176" t="s">
        <v>233</v>
      </c>
      <c r="C148" s="175"/>
      <c r="D148" s="177">
        <f>TRUNC((SUM(D141:D145)+D147),2)</f>
        <v>3372.97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D149" sqref="A1:D149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103" t="s">
        <v>177</v>
      </c>
      <c r="B2" s="103"/>
      <c r="C2" s="103"/>
      <c r="D2" s="103"/>
    </row>
    <row r="3" ht="15.75" spans="1:4">
      <c r="A3" s="104" t="s">
        <v>178</v>
      </c>
      <c r="B3" s="104"/>
      <c r="C3" s="104"/>
      <c r="D3" s="104"/>
    </row>
    <row r="4" spans="1:4">
      <c r="A4" s="105" t="s">
        <v>179</v>
      </c>
      <c r="B4" s="106" t="s">
        <v>180</v>
      </c>
      <c r="C4" s="107"/>
      <c r="D4" s="107"/>
    </row>
    <row r="5" spans="1:4">
      <c r="A5" s="108"/>
      <c r="B5" s="109"/>
      <c r="C5" s="109"/>
      <c r="D5" s="109"/>
    </row>
    <row r="6" ht="15.75" spans="1:4">
      <c r="A6" s="110" t="s">
        <v>181</v>
      </c>
      <c r="B6" s="110"/>
      <c r="C6" s="110"/>
      <c r="D6" s="110"/>
    </row>
    <row r="7" ht="15.75" spans="1:4">
      <c r="A7" s="111" t="s">
        <v>42</v>
      </c>
      <c r="B7" s="112" t="s">
        <v>182</v>
      </c>
      <c r="C7" s="113" t="s">
        <v>183</v>
      </c>
      <c r="D7" s="113"/>
    </row>
    <row r="8" spans="1:4">
      <c r="A8" s="114" t="s">
        <v>45</v>
      </c>
      <c r="B8" s="115" t="s">
        <v>184</v>
      </c>
      <c r="C8" s="116" t="s">
        <v>185</v>
      </c>
      <c r="D8" s="116"/>
    </row>
    <row r="9" spans="1:4">
      <c r="A9" s="117" t="s">
        <v>48</v>
      </c>
      <c r="B9" s="118" t="s">
        <v>186</v>
      </c>
      <c r="C9" s="116" t="s">
        <v>187</v>
      </c>
      <c r="D9" s="116"/>
    </row>
    <row r="10" spans="1:4">
      <c r="A10" s="114" t="s">
        <v>53</v>
      </c>
      <c r="B10" s="115" t="s">
        <v>188</v>
      </c>
      <c r="C10" s="116" t="s">
        <v>189</v>
      </c>
      <c r="D10" s="116"/>
    </row>
    <row r="11" ht="15.75" spans="1:4">
      <c r="A11" s="119" t="s">
        <v>190</v>
      </c>
      <c r="B11" s="119"/>
      <c r="C11" s="119"/>
      <c r="D11" s="119"/>
    </row>
    <row r="12" ht="16.5" spans="1:4">
      <c r="A12" s="120" t="s">
        <v>191</v>
      </c>
      <c r="B12" s="120"/>
      <c r="C12" s="119" t="s">
        <v>192</v>
      </c>
      <c r="D12" s="121" t="s">
        <v>193</v>
      </c>
    </row>
    <row r="13" ht="15.75" spans="1:4">
      <c r="A13" s="122" t="s">
        <v>243</v>
      </c>
      <c r="B13" s="122"/>
      <c r="C13" s="116" t="s">
        <v>244</v>
      </c>
      <c r="D13" s="123">
        <f>RESUMO!D6</f>
        <v>16</v>
      </c>
    </row>
    <row r="14" spans="1:4">
      <c r="A14" s="124"/>
      <c r="B14" s="124"/>
      <c r="C14" s="116"/>
      <c r="D14" s="125"/>
    </row>
    <row r="15" ht="15.75" spans="1:7">
      <c r="A15" s="119" t="s">
        <v>14</v>
      </c>
      <c r="B15" s="119"/>
      <c r="C15" s="119"/>
      <c r="D15" s="119"/>
      <c r="F15" s="126"/>
      <c r="G15" s="126"/>
    </row>
    <row r="16" ht="15.75" spans="1:4">
      <c r="A16" s="128" t="s">
        <v>16</v>
      </c>
      <c r="B16" t="s">
        <v>17</v>
      </c>
      <c r="C16" s="128" t="s">
        <v>18</v>
      </c>
      <c r="D16" s="128" t="s">
        <v>19</v>
      </c>
    </row>
    <row r="17" spans="1:6">
      <c r="A17" s="128">
        <v>1</v>
      </c>
      <c r="B17" t="s">
        <v>20</v>
      </c>
      <c r="C17" s="129" t="s">
        <v>102</v>
      </c>
      <c r="D17" s="129" t="str">
        <f>A13</f>
        <v>Agente de Portaria</v>
      </c>
      <c r="F17" s="178"/>
    </row>
    <row r="18" spans="1:4">
      <c r="A18" s="128">
        <v>2</v>
      </c>
      <c r="B18" t="s">
        <v>23</v>
      </c>
      <c r="C18" s="129" t="s">
        <v>196</v>
      </c>
      <c r="D18" s="129" t="s">
        <v>245</v>
      </c>
    </row>
    <row r="19" spans="1:4">
      <c r="A19" s="128">
        <v>3</v>
      </c>
      <c r="B19" t="s">
        <v>26</v>
      </c>
      <c r="C19" s="129" t="str">
        <f>C9</f>
        <v>CCT PB000517/2021</v>
      </c>
      <c r="D19" s="130">
        <v>1236.84</v>
      </c>
    </row>
    <row r="20" spans="1:4">
      <c r="A20" s="128">
        <v>4</v>
      </c>
      <c r="B20" t="s">
        <v>29</v>
      </c>
      <c r="C20" s="129" t="str">
        <f>C9</f>
        <v>CCT PB000517/2021</v>
      </c>
      <c r="D20" s="131" t="s">
        <v>198</v>
      </c>
    </row>
    <row r="21" spans="1:4">
      <c r="A21" s="128">
        <v>5</v>
      </c>
      <c r="B21" t="s">
        <v>33</v>
      </c>
      <c r="C21" s="129" t="str">
        <f>C9</f>
        <v>CCT PB000517/2021</v>
      </c>
      <c r="D21" s="132" t="s">
        <v>199</v>
      </c>
    </row>
    <row r="22" spans="6:7">
      <c r="F22" s="126"/>
      <c r="G22" s="126"/>
    </row>
    <row r="23" spans="1:4">
      <c r="A23" s="110" t="s">
        <v>36</v>
      </c>
      <c r="B23" s="110"/>
      <c r="C23" s="110"/>
      <c r="D23" s="110"/>
    </row>
    <row r="24" spans="1:7">
      <c r="A24" s="128" t="s">
        <v>39</v>
      </c>
      <c r="B24" s="133" t="s">
        <v>40</v>
      </c>
      <c r="C24" s="128" t="s">
        <v>18</v>
      </c>
      <c r="D24" s="128" t="s">
        <v>19</v>
      </c>
      <c r="G24" s="179"/>
    </row>
    <row r="25" spans="1:7">
      <c r="A25" s="128" t="s">
        <v>42</v>
      </c>
      <c r="B25" t="s">
        <v>43</v>
      </c>
      <c r="C25" s="131" t="s">
        <v>246</v>
      </c>
      <c r="D25" s="130">
        <f>D19</f>
        <v>1236.84</v>
      </c>
      <c r="G25" s="179"/>
    </row>
    <row r="26" spans="1:7">
      <c r="A26" s="128" t="s">
        <v>45</v>
      </c>
      <c r="B26" t="s">
        <v>46</v>
      </c>
      <c r="C26" s="131"/>
      <c r="D26" s="130">
        <v>0</v>
      </c>
      <c r="G26" s="179"/>
    </row>
    <row r="27" spans="1:4">
      <c r="A27" s="128" t="s">
        <v>48</v>
      </c>
      <c r="B27" t="s">
        <v>49</v>
      </c>
      <c r="C27" s="131"/>
      <c r="D27" s="130">
        <v>0</v>
      </c>
    </row>
    <row r="28" spans="1:4">
      <c r="A28" s="128" t="s">
        <v>50</v>
      </c>
      <c r="B28" t="s">
        <v>51</v>
      </c>
      <c r="C28" s="131"/>
      <c r="D28" s="130">
        <v>0</v>
      </c>
    </row>
    <row r="29" spans="1:4">
      <c r="A29" s="128" t="s">
        <v>53</v>
      </c>
      <c r="B29" t="s">
        <v>54</v>
      </c>
      <c r="C29" s="131"/>
      <c r="D29" s="130">
        <v>0</v>
      </c>
    </row>
    <row r="30" spans="1:4">
      <c r="A30" s="128" t="s">
        <v>55</v>
      </c>
      <c r="B30" t="s">
        <v>56</v>
      </c>
      <c r="C30" s="131"/>
      <c r="D30" s="130">
        <v>0</v>
      </c>
    </row>
    <row r="31" spans="1:7">
      <c r="A31" s="128" t="s">
        <v>58</v>
      </c>
      <c r="C31" s="128"/>
      <c r="D31" s="135">
        <f>TRUNC((SUM(D25:D30)),2)</f>
        <v>1236.84</v>
      </c>
      <c r="F31" s="126"/>
      <c r="G31" s="126"/>
    </row>
    <row r="33" spans="1:7">
      <c r="A33" s="136" t="s">
        <v>61</v>
      </c>
      <c r="B33" s="136"/>
      <c r="C33" s="136"/>
      <c r="D33" s="136"/>
      <c r="G33" s="179"/>
    </row>
    <row r="35" spans="1:4">
      <c r="A35" s="126" t="s">
        <v>63</v>
      </c>
      <c r="B35" s="126"/>
      <c r="C35" s="126"/>
      <c r="D35" s="126"/>
    </row>
    <row r="36" spans="1:4">
      <c r="A36" s="128" t="s">
        <v>65</v>
      </c>
      <c r="B36" s="133" t="s">
        <v>66</v>
      </c>
      <c r="C36" s="128" t="s">
        <v>38</v>
      </c>
      <c r="D36" s="128" t="s">
        <v>19</v>
      </c>
    </row>
    <row r="37" spans="1:7">
      <c r="A37" s="128" t="s">
        <v>42</v>
      </c>
      <c r="B37" t="s">
        <v>67</v>
      </c>
      <c r="C37" s="137">
        <f>(1/12)</f>
        <v>0.0833333333333333</v>
      </c>
      <c r="D37" s="135">
        <f>TRUNC($D$31*C37,2)</f>
        <v>103.07</v>
      </c>
      <c r="F37" s="138"/>
      <c r="G37" s="138"/>
    </row>
    <row r="38" spans="1:7">
      <c r="A38" s="128" t="s">
        <v>45</v>
      </c>
      <c r="B38" t="s">
        <v>68</v>
      </c>
      <c r="C38" s="137">
        <f>(((1+1/3)/12))</f>
        <v>0.111111111111111</v>
      </c>
      <c r="D38" s="135">
        <f>TRUNC($D$31*C38,2)</f>
        <v>137.42</v>
      </c>
      <c r="F38" s="138"/>
      <c r="G38" s="138"/>
    </row>
    <row r="39" spans="1:7">
      <c r="A39" s="128" t="s">
        <v>58</v>
      </c>
      <c r="D39" s="135">
        <f>TRUNC((SUM(D37:D38)),2)</f>
        <v>240.49</v>
      </c>
      <c r="F39" s="138"/>
      <c r="G39" s="138"/>
    </row>
    <row r="40" ht="15.75" spans="4:7">
      <c r="D40" s="135"/>
      <c r="F40" s="138"/>
      <c r="G40" s="138"/>
    </row>
    <row r="41" ht="16.5" spans="1:7">
      <c r="A41" s="139" t="s">
        <v>201</v>
      </c>
      <c r="B41" s="139"/>
      <c r="C41" s="140" t="s">
        <v>202</v>
      </c>
      <c r="D41" s="141">
        <f>D31</f>
        <v>1236.84</v>
      </c>
      <c r="F41" s="138"/>
      <c r="G41" s="138"/>
    </row>
    <row r="42" ht="16.5" spans="1:7">
      <c r="A42" s="139"/>
      <c r="B42" s="139"/>
      <c r="C42" s="142" t="s">
        <v>203</v>
      </c>
      <c r="D42" s="141">
        <f>D39</f>
        <v>240.49</v>
      </c>
      <c r="F42" s="138"/>
      <c r="G42" s="138"/>
    </row>
    <row r="43" ht="16.5" spans="1:7">
      <c r="A43" s="139"/>
      <c r="B43" s="139"/>
      <c r="C43" s="140" t="s">
        <v>204</v>
      </c>
      <c r="D43" s="143">
        <f>TRUNC(SUM(D41:D42),2)</f>
        <v>1477.33</v>
      </c>
      <c r="F43" s="138"/>
      <c r="G43" s="138"/>
    </row>
    <row r="44" ht="15.75" spans="1:7">
      <c r="A44" s="128"/>
      <c r="C44" s="144"/>
      <c r="D44" s="135"/>
      <c r="F44" s="138"/>
      <c r="G44" s="138"/>
    </row>
    <row r="45" spans="1:4">
      <c r="A45" s="126" t="s">
        <v>77</v>
      </c>
      <c r="B45" s="126"/>
      <c r="C45" s="126"/>
      <c r="D45" s="126"/>
    </row>
    <row r="46" spans="1:4">
      <c r="A46" s="128" t="s">
        <v>78</v>
      </c>
      <c r="B46" s="133" t="s">
        <v>79</v>
      </c>
      <c r="C46" s="128" t="s">
        <v>38</v>
      </c>
      <c r="D46" s="128" t="s">
        <v>80</v>
      </c>
    </row>
    <row r="47" spans="1:4">
      <c r="A47" s="128" t="s">
        <v>42</v>
      </c>
      <c r="B47" t="s">
        <v>81</v>
      </c>
      <c r="C47" s="137">
        <v>0.2</v>
      </c>
      <c r="D47" s="180">
        <f t="shared" ref="D47:D54" si="0">TRUNC(($D$43*C47),2)</f>
        <v>295.46</v>
      </c>
    </row>
    <row r="48" spans="1:4">
      <c r="A48" s="128" t="s">
        <v>45</v>
      </c>
      <c r="B48" t="s">
        <v>82</v>
      </c>
      <c r="C48" s="137">
        <v>0.025</v>
      </c>
      <c r="D48" s="180">
        <f t="shared" si="0"/>
        <v>36.93</v>
      </c>
    </row>
    <row r="49" spans="1:4">
      <c r="A49" s="128" t="s">
        <v>48</v>
      </c>
      <c r="B49" t="s">
        <v>205</v>
      </c>
      <c r="C49" s="145">
        <v>0.06</v>
      </c>
      <c r="D49" s="180">
        <f t="shared" si="0"/>
        <v>88.63</v>
      </c>
    </row>
    <row r="50" spans="1:4">
      <c r="A50" s="128" t="s">
        <v>50</v>
      </c>
      <c r="B50" t="s">
        <v>84</v>
      </c>
      <c r="C50" s="137">
        <v>0.015</v>
      </c>
      <c r="D50" s="180">
        <f t="shared" si="0"/>
        <v>22.15</v>
      </c>
    </row>
    <row r="51" spans="1:4">
      <c r="A51" s="128" t="s">
        <v>53</v>
      </c>
      <c r="B51" t="s">
        <v>85</v>
      </c>
      <c r="C51" s="137">
        <v>0.01</v>
      </c>
      <c r="D51" s="180">
        <f t="shared" si="0"/>
        <v>14.77</v>
      </c>
    </row>
    <row r="52" spans="1:4">
      <c r="A52" s="128" t="s">
        <v>55</v>
      </c>
      <c r="B52" t="s">
        <v>86</v>
      </c>
      <c r="C52" s="137">
        <v>0.006</v>
      </c>
      <c r="D52" s="180">
        <f t="shared" si="0"/>
        <v>8.86</v>
      </c>
    </row>
    <row r="53" spans="1:4">
      <c r="A53" s="128" t="s">
        <v>87</v>
      </c>
      <c r="B53" t="s">
        <v>88</v>
      </c>
      <c r="C53" s="137">
        <v>0.002</v>
      </c>
      <c r="D53" s="180">
        <f t="shared" si="0"/>
        <v>2.95</v>
      </c>
    </row>
    <row r="54" spans="1:4">
      <c r="A54" s="128" t="s">
        <v>89</v>
      </c>
      <c r="B54" t="s">
        <v>90</v>
      </c>
      <c r="C54" s="137">
        <v>0.08</v>
      </c>
      <c r="D54" s="180">
        <f t="shared" si="0"/>
        <v>118.18</v>
      </c>
    </row>
    <row r="55" spans="1:4">
      <c r="A55" s="128" t="s">
        <v>58</v>
      </c>
      <c r="C55" s="144">
        <f>SUM(C47:C54)</f>
        <v>0.398</v>
      </c>
      <c r="D55" s="135">
        <f>TRUNC((SUM(D47:D54)),2)</f>
        <v>587.93</v>
      </c>
    </row>
    <row r="56" spans="1:4">
      <c r="A56" s="128"/>
      <c r="C56" s="144"/>
      <c r="D56" s="135"/>
    </row>
    <row r="57" spans="1:4">
      <c r="A57" s="126" t="s">
        <v>95</v>
      </c>
      <c r="B57" s="126"/>
      <c r="C57" s="126"/>
      <c r="D57" s="126"/>
    </row>
    <row r="58" spans="1:4">
      <c r="A58" s="128" t="s">
        <v>96</v>
      </c>
      <c r="B58" s="133" t="s">
        <v>97</v>
      </c>
      <c r="C58" s="128" t="s">
        <v>18</v>
      </c>
      <c r="D58" s="128" t="s">
        <v>19</v>
      </c>
    </row>
    <row r="59" spans="1:4">
      <c r="A59" s="128" t="s">
        <v>42</v>
      </c>
      <c r="B59" t="s">
        <v>98</v>
      </c>
      <c r="C59" s="129"/>
      <c r="D59" s="146">
        <f>TRUNC((((365/12/2)*4.4)*2)-((D25/100)*6),2)</f>
        <v>59.62</v>
      </c>
    </row>
    <row r="60" spans="1:4">
      <c r="A60" s="128" t="s">
        <v>45</v>
      </c>
      <c r="B60" t="s">
        <v>99</v>
      </c>
      <c r="C60" s="129" t="str">
        <f>C9</f>
        <v>CCT PB000517/2021</v>
      </c>
      <c r="D60" s="130">
        <f>TRUNC((((460))-(((460))*0.2)),2)</f>
        <v>368</v>
      </c>
    </row>
    <row r="61" spans="1:4">
      <c r="A61" s="128" t="s">
        <v>48</v>
      </c>
      <c r="B61" t="s">
        <v>100</v>
      </c>
      <c r="C61" s="129"/>
      <c r="D61" s="130">
        <v>0</v>
      </c>
    </row>
    <row r="62" spans="1:6">
      <c r="A62" s="147" t="s">
        <v>50</v>
      </c>
      <c r="B62" s="148" t="s">
        <v>206</v>
      </c>
      <c r="C62" s="149"/>
      <c r="D62" s="149">
        <f>TRUNC(((((($D$25+$D$26+$D$28+$D$29)/220)*1.5)*(365/12))/2),2)</f>
        <v>128.25</v>
      </c>
      <c r="F62" s="148"/>
    </row>
    <row r="63" spans="1:4">
      <c r="A63" s="147" t="s">
        <v>53</v>
      </c>
      <c r="B63" s="133" t="s">
        <v>207</v>
      </c>
      <c r="C63" s="129" t="s">
        <v>187</v>
      </c>
      <c r="D63" s="130">
        <v>20</v>
      </c>
    </row>
    <row r="64" spans="1:4">
      <c r="A64" s="147" t="s">
        <v>55</v>
      </c>
      <c r="B64" s="150" t="s">
        <v>208</v>
      </c>
      <c r="C64" s="129" t="s">
        <v>187</v>
      </c>
      <c r="D64" s="130">
        <v>5</v>
      </c>
    </row>
    <row r="65" spans="1:4">
      <c r="A65" s="147" t="s">
        <v>87</v>
      </c>
      <c r="B65" s="150" t="s">
        <v>209</v>
      </c>
      <c r="C65" s="149" t="s">
        <v>187</v>
      </c>
      <c r="D65" s="130">
        <v>40</v>
      </c>
    </row>
    <row r="66" spans="1:4">
      <c r="A66" s="128" t="s">
        <v>58</v>
      </c>
      <c r="D66" s="135">
        <f>TRUNC((SUM(D59:D65)),2)</f>
        <v>620.87</v>
      </c>
    </row>
    <row r="67" spans="1:4">
      <c r="A67" s="128"/>
      <c r="D67" s="135"/>
    </row>
    <row r="68" spans="1:4">
      <c r="A68" s="126" t="s">
        <v>105</v>
      </c>
      <c r="B68" s="126"/>
      <c r="C68" s="126"/>
      <c r="D68" s="126"/>
    </row>
    <row r="69" spans="1:4">
      <c r="A69" s="128" t="s">
        <v>106</v>
      </c>
      <c r="B69" s="133" t="s">
        <v>107</v>
      </c>
      <c r="C69" s="128" t="s">
        <v>18</v>
      </c>
      <c r="D69" s="128" t="s">
        <v>19</v>
      </c>
    </row>
    <row r="70" spans="1:4">
      <c r="A70" s="128" t="s">
        <v>65</v>
      </c>
      <c r="B70" t="s">
        <v>66</v>
      </c>
      <c r="C70" s="128"/>
      <c r="D70" s="135">
        <f>D39</f>
        <v>240.49</v>
      </c>
    </row>
    <row r="71" spans="1:4">
      <c r="A71" s="128" t="s">
        <v>78</v>
      </c>
      <c r="B71" t="s">
        <v>79</v>
      </c>
      <c r="C71" s="128"/>
      <c r="D71" s="135">
        <f>D55</f>
        <v>587.93</v>
      </c>
    </row>
    <row r="72" spans="1:4">
      <c r="A72" s="128" t="s">
        <v>96</v>
      </c>
      <c r="B72" t="s">
        <v>97</v>
      </c>
      <c r="C72" s="128"/>
      <c r="D72" s="135">
        <f>D66</f>
        <v>620.87</v>
      </c>
    </row>
    <row r="73" spans="1:4">
      <c r="A73" s="128" t="s">
        <v>58</v>
      </c>
      <c r="C73" s="128"/>
      <c r="D73" s="135">
        <f>TRUNC((SUM(D70:D72)),2)</f>
        <v>1449.29</v>
      </c>
    </row>
    <row r="75" spans="1:4">
      <c r="A75" s="110" t="s">
        <v>108</v>
      </c>
      <c r="B75" s="110"/>
      <c r="C75" s="110"/>
      <c r="D75" s="110"/>
    </row>
    <row r="76" spans="1:4">
      <c r="A76" s="128" t="s">
        <v>109</v>
      </c>
      <c r="B76" s="133" t="s">
        <v>110</v>
      </c>
      <c r="C76" s="128" t="s">
        <v>38</v>
      </c>
      <c r="D76" s="128" t="s">
        <v>19</v>
      </c>
    </row>
    <row r="77" spans="1:4">
      <c r="A77" s="128" t="s">
        <v>42</v>
      </c>
      <c r="B77" t="s">
        <v>111</v>
      </c>
      <c r="C77" s="145">
        <f>((1/12)*2%)</f>
        <v>0.00166666666666667</v>
      </c>
      <c r="D77" s="130">
        <f>TRUNC(($D$31*C77),2)</f>
        <v>2.06</v>
      </c>
    </row>
    <row r="78" spans="1:4">
      <c r="A78" s="128" t="s">
        <v>45</v>
      </c>
      <c r="B78" t="s">
        <v>112</v>
      </c>
      <c r="C78" s="151">
        <v>0.08</v>
      </c>
      <c r="D78" s="135">
        <f>TRUNC(($D$77*C78),2)</f>
        <v>0.16</v>
      </c>
    </row>
    <row r="79" ht="30" spans="1:4">
      <c r="A79" s="128" t="s">
        <v>48</v>
      </c>
      <c r="B79" s="152" t="s">
        <v>113</v>
      </c>
      <c r="C79" s="153">
        <f>(0.08*0.4*0.02)</f>
        <v>0.00064</v>
      </c>
      <c r="D79" s="149">
        <f>TRUNC(($D$31*C79),2)</f>
        <v>0.79</v>
      </c>
    </row>
    <row r="80" spans="1:4">
      <c r="A80" s="128" t="s">
        <v>50</v>
      </c>
      <c r="B80" t="s">
        <v>114</v>
      </c>
      <c r="C80" s="154">
        <f>(((7/30)/12)*0.98)</f>
        <v>0.0190555555555556</v>
      </c>
      <c r="D80" s="155">
        <f>TRUNC(($D$31*C80),2)</f>
        <v>23.56</v>
      </c>
    </row>
    <row r="81" ht="30" spans="1:4">
      <c r="A81" s="128" t="s">
        <v>53</v>
      </c>
      <c r="B81" s="152" t="s">
        <v>210</v>
      </c>
      <c r="C81" s="153">
        <f>C55</f>
        <v>0.398</v>
      </c>
      <c r="D81" s="149">
        <f>TRUNC(($D$80*C81),2)</f>
        <v>9.37</v>
      </c>
    </row>
    <row r="82" ht="30" spans="1:4">
      <c r="A82" s="128" t="s">
        <v>55</v>
      </c>
      <c r="B82" s="152" t="s">
        <v>115</v>
      </c>
      <c r="C82" s="154">
        <f>(0.08*0.4*0.98)</f>
        <v>0.03136</v>
      </c>
      <c r="D82" s="149">
        <f>TRUNC(($D$31*C82),2)</f>
        <v>38.78</v>
      </c>
    </row>
    <row r="83" spans="1:4">
      <c r="A83" s="128" t="s">
        <v>58</v>
      </c>
      <c r="C83" s="151">
        <f>SUM(C77:C82)</f>
        <v>0.530722222222222</v>
      </c>
      <c r="D83" s="135">
        <f>TRUNC((SUM(D77:D82)),2)</f>
        <v>74.72</v>
      </c>
    </row>
    <row r="84" ht="15.75" spans="1:4">
      <c r="A84" s="128"/>
      <c r="D84" s="135"/>
    </row>
    <row r="85" ht="16.5" spans="1:4">
      <c r="A85" s="139" t="s">
        <v>211</v>
      </c>
      <c r="B85" s="139"/>
      <c r="C85" s="140" t="s">
        <v>202</v>
      </c>
      <c r="D85" s="141">
        <f>D31</f>
        <v>1236.84</v>
      </c>
    </row>
    <row r="86" ht="16.5" spans="1:4">
      <c r="A86" s="139"/>
      <c r="B86" s="139"/>
      <c r="C86" s="142" t="s">
        <v>212</v>
      </c>
      <c r="D86" s="141">
        <f>D73</f>
        <v>1449.29</v>
      </c>
    </row>
    <row r="87" ht="16.5" spans="1:4">
      <c r="A87" s="139"/>
      <c r="B87" s="139"/>
      <c r="C87" s="140" t="s">
        <v>213</v>
      </c>
      <c r="D87" s="141">
        <f>D83</f>
        <v>74.72</v>
      </c>
    </row>
    <row r="88" ht="16.5" spans="1:4">
      <c r="A88" s="139"/>
      <c r="B88" s="139"/>
      <c r="C88" s="142" t="s">
        <v>204</v>
      </c>
      <c r="D88" s="143">
        <f>TRUNC((SUM(D85:D87)),2)</f>
        <v>2760.85</v>
      </c>
    </row>
    <row r="89" ht="15.75" spans="1:4">
      <c r="A89" s="128"/>
      <c r="D89" s="135"/>
    </row>
    <row r="90" spans="1:4">
      <c r="A90" s="156" t="s">
        <v>127</v>
      </c>
      <c r="B90" s="156"/>
      <c r="C90" s="156"/>
      <c r="D90" s="156"/>
    </row>
    <row r="91" spans="1:4">
      <c r="A91" s="126" t="s">
        <v>128</v>
      </c>
      <c r="B91" s="126"/>
      <c r="C91" s="126"/>
      <c r="D91" s="126"/>
    </row>
    <row r="92" spans="1:4">
      <c r="A92" s="128" t="s">
        <v>129</v>
      </c>
      <c r="B92" s="133" t="s">
        <v>130</v>
      </c>
      <c r="C92" s="128" t="s">
        <v>38</v>
      </c>
      <c r="D92" s="128" t="s">
        <v>19</v>
      </c>
    </row>
    <row r="93" spans="1:4">
      <c r="A93" s="128" t="s">
        <v>42</v>
      </c>
      <c r="B93" t="s">
        <v>214</v>
      </c>
      <c r="C93" s="151">
        <f>(((1+1/3)/12)/12)+((1/12)/12)</f>
        <v>0.0162037037037037</v>
      </c>
      <c r="D93" s="135">
        <f>TRUNC(($D$88*C93),2)</f>
        <v>44.73</v>
      </c>
    </row>
    <row r="94" spans="1:4">
      <c r="A94" s="128" t="s">
        <v>45</v>
      </c>
      <c r="B94" t="s">
        <v>133</v>
      </c>
      <c r="C94" s="145">
        <f>((5/30)/12)</f>
        <v>0.0138888888888889</v>
      </c>
      <c r="D94" s="149">
        <f>TRUNC(($D$88*C94),2)</f>
        <v>38.34</v>
      </c>
    </row>
    <row r="95" spans="1:4">
      <c r="A95" s="128" t="s">
        <v>48</v>
      </c>
      <c r="B95" t="s">
        <v>134</v>
      </c>
      <c r="C95" s="145">
        <f>((5/30)/12)*0.02</f>
        <v>0.000277777777777778</v>
      </c>
      <c r="D95" s="149">
        <f>TRUNC(($D$88*C95),2)</f>
        <v>0.76</v>
      </c>
    </row>
    <row r="96" ht="30" spans="1:4">
      <c r="A96" s="147" t="s">
        <v>50</v>
      </c>
      <c r="B96" s="152" t="s">
        <v>135</v>
      </c>
      <c r="C96" s="153">
        <f>((15/30)/12)*0.08</f>
        <v>0.00333333333333333</v>
      </c>
      <c r="D96" s="149">
        <f>TRUNC(($D$88*C96),2)</f>
        <v>9.2</v>
      </c>
    </row>
    <row r="97" spans="1:4">
      <c r="A97" s="128" t="s">
        <v>53</v>
      </c>
      <c r="B97" t="s">
        <v>136</v>
      </c>
      <c r="C97" s="145">
        <f>((1+1/3)/12)*0.03*((4/12))</f>
        <v>0.00111111111111111</v>
      </c>
      <c r="D97" s="149">
        <f>TRUNC(($D$88*C97),2)</f>
        <v>3.06</v>
      </c>
    </row>
    <row r="98" ht="30" spans="1:4">
      <c r="A98" s="128" t="s">
        <v>55</v>
      </c>
      <c r="B98" s="152" t="s">
        <v>215</v>
      </c>
      <c r="C98" s="157">
        <v>0</v>
      </c>
      <c r="D98" s="149">
        <f>TRUNC($D$88*C98)</f>
        <v>0</v>
      </c>
    </row>
    <row r="99" spans="1:4">
      <c r="A99" s="128" t="s">
        <v>58</v>
      </c>
      <c r="C99" s="151">
        <f>SUM(C93:C98)</f>
        <v>0.0348148148148148</v>
      </c>
      <c r="D99" s="135">
        <f>TRUNC(SUM(D93:D98),2)</f>
        <v>96.09</v>
      </c>
    </row>
    <row r="100" spans="1:4">
      <c r="A100" s="128"/>
      <c r="C100" s="128"/>
      <c r="D100" s="135"/>
    </row>
    <row r="101" spans="1:4">
      <c r="A101" s="126" t="s">
        <v>144</v>
      </c>
      <c r="B101" s="126"/>
      <c r="C101" s="126"/>
      <c r="D101" s="126"/>
    </row>
    <row r="102" spans="1:4">
      <c r="A102" s="128" t="s">
        <v>145</v>
      </c>
      <c r="B102" s="133" t="s">
        <v>146</v>
      </c>
      <c r="C102" s="128" t="s">
        <v>18</v>
      </c>
      <c r="D102" s="128" t="s">
        <v>19</v>
      </c>
    </row>
    <row r="103" ht="105" spans="1:4">
      <c r="A103" s="147" t="s">
        <v>42</v>
      </c>
      <c r="B103" s="158" t="s">
        <v>147</v>
      </c>
      <c r="C103" s="159" t="s">
        <v>216</v>
      </c>
      <c r="D103" s="160" t="s">
        <v>217</v>
      </c>
    </row>
    <row r="104" spans="1:4">
      <c r="A104" s="128" t="s">
        <v>58</v>
      </c>
      <c r="C104" s="128"/>
      <c r="D104" s="162" t="str">
        <f>D103</f>
        <v>*=TRUNCAR(($D$86/220)*(1*(365/12))/2)</v>
      </c>
    </row>
    <row r="106" spans="1:4">
      <c r="A106" s="126" t="s">
        <v>148</v>
      </c>
      <c r="B106" s="126"/>
      <c r="C106" s="126"/>
      <c r="D106" s="126"/>
    </row>
    <row r="107" spans="1:4">
      <c r="A107" s="128" t="s">
        <v>149</v>
      </c>
      <c r="B107" s="133" t="s">
        <v>150</v>
      </c>
      <c r="C107" s="128" t="s">
        <v>18</v>
      </c>
      <c r="D107" s="128" t="s">
        <v>19</v>
      </c>
    </row>
    <row r="108" spans="1:4">
      <c r="A108" s="128" t="s">
        <v>129</v>
      </c>
      <c r="B108" t="s">
        <v>130</v>
      </c>
      <c r="D108" s="130">
        <f>D99</f>
        <v>96.09</v>
      </c>
    </row>
    <row r="109" spans="1:4">
      <c r="A109" s="128" t="s">
        <v>145</v>
      </c>
      <c r="B109" t="s">
        <v>151</v>
      </c>
      <c r="C109" s="133"/>
      <c r="D109" s="163" t="str">
        <f>Submódulo4.260_55[[#Totals],[Valor]]</f>
        <v>*=TRUNCAR(($D$86/220)*(1*(365/12))/2)</v>
      </c>
    </row>
    <row r="110" ht="75" spans="1:4">
      <c r="A110" s="147" t="s">
        <v>58</v>
      </c>
      <c r="B110" s="148"/>
      <c r="C110" s="159" t="s">
        <v>218</v>
      </c>
      <c r="D110" s="164">
        <f>TRUNC((SUM(D108:D109)),2)</f>
        <v>96.09</v>
      </c>
    </row>
    <row r="112" spans="1:4">
      <c r="A112" s="110" t="s">
        <v>152</v>
      </c>
      <c r="B112" s="110"/>
      <c r="C112" s="110"/>
      <c r="D112" s="110"/>
    </row>
    <row r="113" spans="1:4">
      <c r="A113" s="147" t="s">
        <v>153</v>
      </c>
      <c r="B113" s="148" t="s">
        <v>154</v>
      </c>
      <c r="C113" s="147" t="s">
        <v>18</v>
      </c>
      <c r="D113" s="147" t="s">
        <v>19</v>
      </c>
    </row>
    <row r="114" spans="1:4">
      <c r="A114" s="128" t="s">
        <v>42</v>
      </c>
      <c r="B114" t="s">
        <v>219</v>
      </c>
      <c r="D114" s="165">
        <f>Uniformes!G56</f>
        <v>86.39</v>
      </c>
    </row>
    <row r="115" spans="1:4">
      <c r="A115" s="128" t="s">
        <v>45</v>
      </c>
      <c r="B115" t="s">
        <v>220</v>
      </c>
      <c r="D115" s="165">
        <v>0</v>
      </c>
    </row>
    <row r="116" spans="1:4">
      <c r="A116" s="128" t="s">
        <v>48</v>
      </c>
      <c r="B116" t="s">
        <v>156</v>
      </c>
      <c r="D116" s="165">
        <f>Materiais!G6</f>
        <v>2.6325</v>
      </c>
    </row>
    <row r="117" spans="1:4">
      <c r="A117" s="128" t="s">
        <v>50</v>
      </c>
      <c r="B117" t="s">
        <v>157</v>
      </c>
      <c r="D117" s="165">
        <v>0</v>
      </c>
    </row>
    <row r="118" spans="1:4">
      <c r="A118" s="128" t="s">
        <v>53</v>
      </c>
      <c r="B118" t="s">
        <v>221</v>
      </c>
      <c r="D118" s="165">
        <f>H116</f>
        <v>0</v>
      </c>
    </row>
    <row r="119" spans="1:4">
      <c r="A119" s="128" t="s">
        <v>58</v>
      </c>
      <c r="D119" s="166">
        <f>TRUNC(SUM(D114:D118),2)</f>
        <v>89.02</v>
      </c>
    </row>
    <row r="120" ht="15.75"/>
    <row r="121" ht="16.5" spans="1:4">
      <c r="A121" s="139" t="s">
        <v>222</v>
      </c>
      <c r="B121" s="139"/>
      <c r="C121" s="140" t="s">
        <v>202</v>
      </c>
      <c r="D121" s="141">
        <f>D31</f>
        <v>1236.84</v>
      </c>
    </row>
    <row r="122" ht="16.5" spans="1:4">
      <c r="A122" s="139"/>
      <c r="B122" s="139"/>
      <c r="C122" s="142" t="s">
        <v>212</v>
      </c>
      <c r="D122" s="141">
        <f>D73</f>
        <v>1449.29</v>
      </c>
    </row>
    <row r="123" ht="16.5" spans="1:4">
      <c r="A123" s="139"/>
      <c r="B123" s="139"/>
      <c r="C123" s="140" t="s">
        <v>213</v>
      </c>
      <c r="D123" s="141">
        <f>D83</f>
        <v>74.72</v>
      </c>
    </row>
    <row r="124" ht="16.5" spans="1:4">
      <c r="A124" s="139"/>
      <c r="B124" s="139"/>
      <c r="C124" s="142" t="s">
        <v>223</v>
      </c>
      <c r="D124" s="141">
        <f>D110</f>
        <v>96.09</v>
      </c>
    </row>
    <row r="125" ht="16.5" spans="1:4">
      <c r="A125" s="139"/>
      <c r="B125" s="139"/>
      <c r="C125" s="140" t="s">
        <v>224</v>
      </c>
      <c r="D125" s="141">
        <f>D119</f>
        <v>89.02</v>
      </c>
    </row>
    <row r="126" ht="16.5" spans="1:4">
      <c r="A126" s="139"/>
      <c r="B126" s="139"/>
      <c r="C126" s="142" t="s">
        <v>204</v>
      </c>
      <c r="D126" s="143">
        <f>TRUNC((SUM(D121:D125)),2)</f>
        <v>2945.96</v>
      </c>
    </row>
    <row r="127" ht="15.75"/>
    <row r="128" ht="15.75" spans="1:7">
      <c r="A128" s="110" t="s">
        <v>164</v>
      </c>
      <c r="B128" s="110"/>
      <c r="C128" s="110"/>
      <c r="D128" s="110"/>
      <c r="F128" s="167" t="s">
        <v>225</v>
      </c>
      <c r="G128" s="167"/>
    </row>
    <row r="129" ht="15.75" spans="1:7">
      <c r="A129" s="128" t="s">
        <v>165</v>
      </c>
      <c r="B129" t="s">
        <v>166</v>
      </c>
      <c r="C129" s="128" t="s">
        <v>38</v>
      </c>
      <c r="D129" s="128" t="s">
        <v>19</v>
      </c>
      <c r="F129" s="169" t="s">
        <v>226</v>
      </c>
      <c r="G129" s="153">
        <f>C132</f>
        <v>0.0865</v>
      </c>
    </row>
    <row r="130" ht="15.75" spans="1:7">
      <c r="A130" s="128" t="s">
        <v>42</v>
      </c>
      <c r="B130" t="s">
        <v>167</v>
      </c>
      <c r="C130" s="168">
        <v>0.04</v>
      </c>
      <c r="D130" s="165">
        <f>TRUNC(($D$126*C130),2)</f>
        <v>117.83</v>
      </c>
      <c r="F130" s="170" t="s">
        <v>227</v>
      </c>
      <c r="G130" s="181">
        <f>TRUNC(SUM(D126,D130,D131),2)</f>
        <v>3216.97</v>
      </c>
    </row>
    <row r="131" ht="15.75" spans="1:7">
      <c r="A131" s="128" t="s">
        <v>45</v>
      </c>
      <c r="B131" t="s">
        <v>59</v>
      </c>
      <c r="C131" s="168">
        <v>0.05</v>
      </c>
      <c r="D131" s="165">
        <f>TRUNC((C131*(D126+D130)),2)</f>
        <v>153.18</v>
      </c>
      <c r="F131" s="169" t="s">
        <v>228</v>
      </c>
      <c r="G131" s="172">
        <f>(100-8.65)/100</f>
        <v>0.9135</v>
      </c>
    </row>
    <row r="132" ht="15.75" spans="1:7">
      <c r="A132" s="128" t="s">
        <v>48</v>
      </c>
      <c r="B132" t="s">
        <v>168</v>
      </c>
      <c r="C132" s="145">
        <f>SUM(C133:C135)</f>
        <v>0.0865</v>
      </c>
      <c r="D132" s="130">
        <f>TRUNC((SUM(D133:D135)),2)</f>
        <v>304.6</v>
      </c>
      <c r="F132" s="170" t="s">
        <v>225</v>
      </c>
      <c r="G132" s="181">
        <f>TRUNC((G130/G131),2)</f>
        <v>3521.58</v>
      </c>
    </row>
    <row r="133" ht="15.75" spans="1:4">
      <c r="A133" s="128"/>
      <c r="B133" t="s">
        <v>229</v>
      </c>
      <c r="C133" s="145">
        <v>0.0065</v>
      </c>
      <c r="D133" s="130">
        <f>TRUNC(($G$132*C133),2)</f>
        <v>22.89</v>
      </c>
    </row>
    <row r="134" spans="1:4">
      <c r="A134" s="128"/>
      <c r="B134" t="s">
        <v>230</v>
      </c>
      <c r="C134" s="145">
        <v>0.03</v>
      </c>
      <c r="D134" s="130">
        <f>TRUNC(($G$132*C134),2)</f>
        <v>105.64</v>
      </c>
    </row>
    <row r="135" spans="1:4">
      <c r="A135" s="128"/>
      <c r="B135" t="s">
        <v>231</v>
      </c>
      <c r="C135" s="145">
        <v>0.05</v>
      </c>
      <c r="D135" s="130">
        <f>TRUNC(($G$132*C135),2)</f>
        <v>176.07</v>
      </c>
    </row>
    <row r="136" spans="1:4">
      <c r="A136" s="128" t="s">
        <v>58</v>
      </c>
      <c r="C136" s="173"/>
      <c r="D136" s="135">
        <f>TRUNC(SUM(D130:D132),2)</f>
        <v>575.61</v>
      </c>
    </row>
    <row r="137" spans="1:4">
      <c r="A137" s="128"/>
      <c r="C137" s="173"/>
      <c r="D137" s="135"/>
    </row>
    <row r="139" spans="1:4">
      <c r="A139" s="110" t="s">
        <v>172</v>
      </c>
      <c r="B139" s="110"/>
      <c r="C139" s="110"/>
      <c r="D139" s="110"/>
    </row>
    <row r="140" spans="1:4">
      <c r="A140" s="128" t="s">
        <v>16</v>
      </c>
      <c r="B140" s="128" t="s">
        <v>173</v>
      </c>
      <c r="C140" s="128" t="s">
        <v>102</v>
      </c>
      <c r="D140" s="128" t="s">
        <v>19</v>
      </c>
    </row>
    <row r="141" spans="1:4">
      <c r="A141" s="128" t="s">
        <v>42</v>
      </c>
      <c r="B141" t="s">
        <v>36</v>
      </c>
      <c r="D141" s="135">
        <f>D31</f>
        <v>1236.84</v>
      </c>
    </row>
    <row r="142" spans="1:4">
      <c r="A142" s="128" t="s">
        <v>45</v>
      </c>
      <c r="B142" t="s">
        <v>61</v>
      </c>
      <c r="D142" s="135">
        <f>D73</f>
        <v>1449.29</v>
      </c>
    </row>
    <row r="143" spans="1:4">
      <c r="A143" s="128" t="s">
        <v>48</v>
      </c>
      <c r="B143" t="s">
        <v>108</v>
      </c>
      <c r="D143" s="135">
        <f>D83</f>
        <v>74.72</v>
      </c>
    </row>
    <row r="144" spans="1:4">
      <c r="A144" s="128" t="s">
        <v>50</v>
      </c>
      <c r="B144" t="s">
        <v>174</v>
      </c>
      <c r="D144" s="135">
        <f>D110</f>
        <v>96.09</v>
      </c>
    </row>
    <row r="145" spans="1:4">
      <c r="A145" s="128" t="s">
        <v>53</v>
      </c>
      <c r="B145" t="s">
        <v>152</v>
      </c>
      <c r="D145" s="135">
        <f>D119</f>
        <v>89.02</v>
      </c>
    </row>
    <row r="146" spans="2:4">
      <c r="B146" s="174" t="s">
        <v>232</v>
      </c>
      <c r="D146" s="135">
        <f>TRUNC(SUM(D141:D145),2)</f>
        <v>2945.96</v>
      </c>
    </row>
    <row r="147" spans="1:4">
      <c r="A147" s="128" t="s">
        <v>55</v>
      </c>
      <c r="B147" t="s">
        <v>164</v>
      </c>
      <c r="D147" s="135">
        <f>D136</f>
        <v>575.61</v>
      </c>
    </row>
    <row r="148" spans="1:4">
      <c r="A148" s="175"/>
      <c r="B148" s="176" t="s">
        <v>233</v>
      </c>
      <c r="C148" s="175"/>
      <c r="D148" s="177">
        <f>TRUNC((SUM(D141:D145)+D147),2)</f>
        <v>3521.57</v>
      </c>
    </row>
    <row r="149" spans="1:4">
      <c r="A149" s="182"/>
      <c r="B149" s="183" t="s">
        <v>247</v>
      </c>
      <c r="C149" s="182"/>
      <c r="D149" s="184">
        <f>TRUNC(D148*2,2)</f>
        <v>7043.14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D149" sqref="A1:D149"/>
    </sheetView>
  </sheetViews>
  <sheetFormatPr defaultColWidth="9.14285714285714" defaultRowHeight="15" outlineLevelCol="6"/>
  <cols>
    <col min="1" max="1" width="11.7809523809524" customWidth="1"/>
    <col min="2" max="2" width="45.552380952381" customWidth="1"/>
    <col min="3" max="3" width="22.1142857142857" customWidth="1"/>
    <col min="4" max="4" width="41" customWidth="1"/>
    <col min="6" max="6" width="22.8571428571429" customWidth="1"/>
    <col min="7" max="7" width="13.647619047619" style="1" customWidth="1"/>
    <col min="8" max="8" width="10.952380952381" customWidth="1"/>
    <col min="9" max="9" width="11.4285714285714" customWidth="1"/>
  </cols>
  <sheetData>
    <row r="2" ht="19.5" spans="1:4">
      <c r="A2" s="103" t="s">
        <v>177</v>
      </c>
      <c r="B2" s="103"/>
      <c r="C2" s="103"/>
      <c r="D2" s="103"/>
    </row>
    <row r="3" ht="15.75" spans="1:4">
      <c r="A3" s="104" t="s">
        <v>178</v>
      </c>
      <c r="B3" s="104"/>
      <c r="C3" s="104"/>
      <c r="D3" s="104"/>
    </row>
    <row r="4" spans="1:4">
      <c r="A4" s="105" t="s">
        <v>179</v>
      </c>
      <c r="B4" s="106" t="s">
        <v>180</v>
      </c>
      <c r="C4" s="107"/>
      <c r="D4" s="107"/>
    </row>
    <row r="5" spans="1:4">
      <c r="A5" s="108"/>
      <c r="B5" s="109"/>
      <c r="C5" s="109"/>
      <c r="D5" s="109"/>
    </row>
    <row r="6" ht="15.75" spans="1:4">
      <c r="A6" s="110" t="s">
        <v>181</v>
      </c>
      <c r="B6" s="110"/>
      <c r="C6" s="110"/>
      <c r="D6" s="110"/>
    </row>
    <row r="7" ht="15.75" spans="1:4">
      <c r="A7" s="111" t="s">
        <v>42</v>
      </c>
      <c r="B7" s="112" t="s">
        <v>182</v>
      </c>
      <c r="C7" s="113" t="s">
        <v>183</v>
      </c>
      <c r="D7" s="113"/>
    </row>
    <row r="8" spans="1:4">
      <c r="A8" s="114" t="s">
        <v>45</v>
      </c>
      <c r="B8" s="115" t="s">
        <v>184</v>
      </c>
      <c r="C8" s="116" t="s">
        <v>185</v>
      </c>
      <c r="D8" s="116"/>
    </row>
    <row r="9" spans="1:4">
      <c r="A9" s="117" t="s">
        <v>48</v>
      </c>
      <c r="B9" s="118" t="s">
        <v>186</v>
      </c>
      <c r="C9" s="116" t="s">
        <v>248</v>
      </c>
      <c r="D9" s="116"/>
    </row>
    <row r="10" spans="1:4">
      <c r="A10" s="114" t="s">
        <v>53</v>
      </c>
      <c r="B10" s="115" t="s">
        <v>188</v>
      </c>
      <c r="C10" s="116" t="s">
        <v>189</v>
      </c>
      <c r="D10" s="116"/>
    </row>
    <row r="11" ht="15.75" spans="1:4">
      <c r="A11" s="119" t="s">
        <v>190</v>
      </c>
      <c r="B11" s="119"/>
      <c r="C11" s="119"/>
      <c r="D11" s="119"/>
    </row>
    <row r="12" ht="16.5" spans="1:4">
      <c r="A12" s="120" t="s">
        <v>191</v>
      </c>
      <c r="B12" s="120"/>
      <c r="C12" s="119" t="s">
        <v>192</v>
      </c>
      <c r="D12" s="121" t="s">
        <v>193</v>
      </c>
    </row>
    <row r="13" ht="15.75" spans="1:4">
      <c r="A13" s="122" t="s">
        <v>249</v>
      </c>
      <c r="B13" s="122"/>
      <c r="C13" s="116" t="s">
        <v>195</v>
      </c>
      <c r="D13" s="123">
        <f>RESUMO!D7</f>
        <v>2</v>
      </c>
    </row>
    <row r="14" spans="1:4">
      <c r="A14" s="124"/>
      <c r="B14" s="124"/>
      <c r="C14" s="116"/>
      <c r="D14" s="125"/>
    </row>
    <row r="15" ht="15.75" spans="1:7">
      <c r="A15" s="119" t="s">
        <v>14</v>
      </c>
      <c r="B15" s="119"/>
      <c r="C15" s="119"/>
      <c r="D15" s="119"/>
      <c r="F15" s="126"/>
      <c r="G15" s="127"/>
    </row>
    <row r="16" ht="15.75" spans="1:4">
      <c r="A16" s="128" t="s">
        <v>16</v>
      </c>
      <c r="B16" t="s">
        <v>17</v>
      </c>
      <c r="C16" s="128" t="s">
        <v>18</v>
      </c>
      <c r="D16" s="128" t="s">
        <v>19</v>
      </c>
    </row>
    <row r="17" spans="1:4">
      <c r="A17" s="128">
        <v>1</v>
      </c>
      <c r="B17" t="s">
        <v>20</v>
      </c>
      <c r="C17" s="129" t="s">
        <v>102</v>
      </c>
      <c r="D17" s="129" t="str">
        <f>A13</f>
        <v>Motorista Interestadual</v>
      </c>
    </row>
    <row r="18" spans="1:4">
      <c r="A18" s="128">
        <v>2</v>
      </c>
      <c r="B18" t="s">
        <v>23</v>
      </c>
      <c r="C18" s="129" t="s">
        <v>196</v>
      </c>
      <c r="D18" s="129" t="s">
        <v>250</v>
      </c>
    </row>
    <row r="19" spans="1:4">
      <c r="A19" s="128">
        <v>3</v>
      </c>
      <c r="B19" t="s">
        <v>26</v>
      </c>
      <c r="C19" s="129" t="str">
        <f>C9</f>
        <v>CCT PB000035/2019*</v>
      </c>
      <c r="D19" s="130">
        <v>2629</v>
      </c>
    </row>
    <row r="20" spans="1:4">
      <c r="A20" s="128">
        <v>4</v>
      </c>
      <c r="B20" t="s">
        <v>29</v>
      </c>
      <c r="C20" s="129" t="str">
        <f>C9</f>
        <v>CCT PB000035/2019*</v>
      </c>
      <c r="D20" s="131" t="s">
        <v>251</v>
      </c>
    </row>
    <row r="21" spans="1:4">
      <c r="A21" s="128">
        <v>5</v>
      </c>
      <c r="B21" t="s">
        <v>33</v>
      </c>
      <c r="C21" s="129" t="str">
        <f>C9</f>
        <v>CCT PB000035/2019*</v>
      </c>
      <c r="D21" s="132" t="s">
        <v>199</v>
      </c>
    </row>
    <row r="22" spans="6:7">
      <c r="F22" s="126"/>
      <c r="G22" s="127"/>
    </row>
    <row r="23" spans="1:4">
      <c r="A23" s="110" t="s">
        <v>36</v>
      </c>
      <c r="B23" s="110"/>
      <c r="C23" s="110"/>
      <c r="D23" s="110"/>
    </row>
    <row r="24" spans="1:7">
      <c r="A24" s="128" t="s">
        <v>39</v>
      </c>
      <c r="B24" s="133" t="s">
        <v>40</v>
      </c>
      <c r="C24" s="128" t="s">
        <v>18</v>
      </c>
      <c r="D24" s="128" t="s">
        <v>19</v>
      </c>
      <c r="G24" s="134"/>
    </row>
    <row r="25" spans="1:7">
      <c r="A25" s="128" t="s">
        <v>42</v>
      </c>
      <c r="B25" t="s">
        <v>43</v>
      </c>
      <c r="C25" s="131" t="str">
        <f>C9</f>
        <v>CCT PB000035/2019*</v>
      </c>
      <c r="D25" s="130">
        <f>D19</f>
        <v>2629</v>
      </c>
      <c r="G25" s="134"/>
    </row>
    <row r="26" spans="1:7">
      <c r="A26" s="128" t="s">
        <v>45</v>
      </c>
      <c r="B26" t="s">
        <v>46</v>
      </c>
      <c r="C26" s="131"/>
      <c r="D26" s="130">
        <v>0</v>
      </c>
      <c r="G26" s="134"/>
    </row>
    <row r="27" spans="1:4">
      <c r="A27" s="128" t="s">
        <v>48</v>
      </c>
      <c r="B27" t="s">
        <v>49</v>
      </c>
      <c r="C27" s="131"/>
      <c r="D27" s="130">
        <v>0</v>
      </c>
    </row>
    <row r="28" spans="1:4">
      <c r="A28" s="128" t="s">
        <v>50</v>
      </c>
      <c r="B28" t="s">
        <v>51</v>
      </c>
      <c r="C28" s="131"/>
      <c r="D28" s="130">
        <v>0</v>
      </c>
    </row>
    <row r="29" spans="1:4">
      <c r="A29" s="128" t="s">
        <v>53</v>
      </c>
      <c r="B29" t="s">
        <v>54</v>
      </c>
      <c r="C29" s="131"/>
      <c r="D29" s="130">
        <v>0</v>
      </c>
    </row>
    <row r="30" spans="1:4">
      <c r="A30" s="128" t="s">
        <v>55</v>
      </c>
      <c r="B30" t="s">
        <v>56</v>
      </c>
      <c r="C30" s="131"/>
      <c r="D30" s="130">
        <v>0</v>
      </c>
    </row>
    <row r="31" spans="1:7">
      <c r="A31" s="128" t="s">
        <v>58</v>
      </c>
      <c r="C31" s="128"/>
      <c r="D31" s="135">
        <f>TRUNC(SUM(D25:D30),2)</f>
        <v>2629</v>
      </c>
      <c r="F31" s="126"/>
      <c r="G31" s="127"/>
    </row>
    <row r="33" spans="1:7">
      <c r="A33" s="136" t="s">
        <v>61</v>
      </c>
      <c r="B33" s="136"/>
      <c r="C33" s="136"/>
      <c r="D33" s="136"/>
      <c r="G33" s="134"/>
    </row>
    <row r="35" spans="1:4">
      <c r="A35" s="126" t="s">
        <v>63</v>
      </c>
      <c r="B35" s="126"/>
      <c r="C35" s="126"/>
      <c r="D35" s="126"/>
    </row>
    <row r="36" spans="1:4">
      <c r="A36" s="128" t="s">
        <v>65</v>
      </c>
      <c r="B36" s="133" t="s">
        <v>66</v>
      </c>
      <c r="C36" s="128" t="s">
        <v>38</v>
      </c>
      <c r="D36" s="128" t="s">
        <v>19</v>
      </c>
    </row>
    <row r="37" spans="1:6">
      <c r="A37" s="128" t="s">
        <v>42</v>
      </c>
      <c r="B37" t="s">
        <v>67</v>
      </c>
      <c r="C37" s="137">
        <f>(1/12)</f>
        <v>0.0833333333333333</v>
      </c>
      <c r="D37" s="135">
        <f>TRUNC($D$31*C37,2)</f>
        <v>219.08</v>
      </c>
      <c r="F37" s="138"/>
    </row>
    <row r="38" spans="1:6">
      <c r="A38" s="128" t="s">
        <v>45</v>
      </c>
      <c r="B38" t="s">
        <v>68</v>
      </c>
      <c r="C38" s="137">
        <f>(((1+1/3)/12))</f>
        <v>0.111111111111111</v>
      </c>
      <c r="D38" s="135">
        <f>TRUNC($D$31*C38,2)</f>
        <v>292.11</v>
      </c>
      <c r="F38" s="138"/>
    </row>
    <row r="39" spans="1:6">
      <c r="A39" s="128" t="s">
        <v>58</v>
      </c>
      <c r="D39" s="135">
        <f>TRUNC((SUM(D37:D38)),2)</f>
        <v>511.19</v>
      </c>
      <c r="F39" s="138"/>
    </row>
    <row r="40" ht="15.75" spans="4:6">
      <c r="D40" s="135"/>
      <c r="F40" s="138"/>
    </row>
    <row r="41" ht="16.5" spans="1:6">
      <c r="A41" s="139" t="s">
        <v>201</v>
      </c>
      <c r="B41" s="139"/>
      <c r="C41" s="140" t="s">
        <v>202</v>
      </c>
      <c r="D41" s="141">
        <f>D31</f>
        <v>2629</v>
      </c>
      <c r="F41" s="138"/>
    </row>
    <row r="42" ht="16.5" spans="1:6">
      <c r="A42" s="139"/>
      <c r="B42" s="139"/>
      <c r="C42" s="142" t="s">
        <v>203</v>
      </c>
      <c r="D42" s="141">
        <f>D39</f>
        <v>511.19</v>
      </c>
      <c r="F42" s="138"/>
    </row>
    <row r="43" ht="16.5" spans="1:6">
      <c r="A43" s="139"/>
      <c r="B43" s="139"/>
      <c r="C43" s="140" t="s">
        <v>204</v>
      </c>
      <c r="D43" s="143">
        <f>TRUNC((SUM(D41:D42)),2)</f>
        <v>3140.19</v>
      </c>
      <c r="F43" s="138"/>
    </row>
    <row r="44" ht="15.75" spans="1:6">
      <c r="A44" s="128"/>
      <c r="C44" s="144"/>
      <c r="D44" s="135"/>
      <c r="F44" s="138"/>
    </row>
    <row r="45" spans="1:4">
      <c r="A45" s="126" t="s">
        <v>77</v>
      </c>
      <c r="B45" s="126"/>
      <c r="C45" s="126"/>
      <c r="D45" s="126"/>
    </row>
    <row r="46" spans="1:4">
      <c r="A46" s="128" t="s">
        <v>78</v>
      </c>
      <c r="B46" s="133" t="s">
        <v>79</v>
      </c>
      <c r="C46" s="128" t="s">
        <v>38</v>
      </c>
      <c r="D46" s="128" t="s">
        <v>80</v>
      </c>
    </row>
    <row r="47" spans="1:4">
      <c r="A47" s="128" t="s">
        <v>42</v>
      </c>
      <c r="B47" t="s">
        <v>81</v>
      </c>
      <c r="C47" s="137">
        <v>0.2</v>
      </c>
      <c r="D47" s="135">
        <f t="shared" ref="D47:D54" si="0">TRUNC(($D$43*C47),2)</f>
        <v>628.03</v>
      </c>
    </row>
    <row r="48" spans="1:4">
      <c r="A48" s="128" t="s">
        <v>45</v>
      </c>
      <c r="B48" t="s">
        <v>82</v>
      </c>
      <c r="C48" s="137">
        <v>0.025</v>
      </c>
      <c r="D48" s="135">
        <f t="shared" si="0"/>
        <v>78.5</v>
      </c>
    </row>
    <row r="49" spans="1:4">
      <c r="A49" s="128" t="s">
        <v>48</v>
      </c>
      <c r="B49" t="s">
        <v>205</v>
      </c>
      <c r="C49" s="145">
        <v>0.06</v>
      </c>
      <c r="D49" s="130">
        <f t="shared" si="0"/>
        <v>188.41</v>
      </c>
    </row>
    <row r="50" spans="1:4">
      <c r="A50" s="128" t="s">
        <v>50</v>
      </c>
      <c r="B50" t="s">
        <v>84</v>
      </c>
      <c r="C50" s="137">
        <v>0.015</v>
      </c>
      <c r="D50" s="135">
        <f t="shared" si="0"/>
        <v>47.1</v>
      </c>
    </row>
    <row r="51" spans="1:4">
      <c r="A51" s="128" t="s">
        <v>53</v>
      </c>
      <c r="B51" t="s">
        <v>85</v>
      </c>
      <c r="C51" s="137">
        <v>0.01</v>
      </c>
      <c r="D51" s="135">
        <f t="shared" si="0"/>
        <v>31.4</v>
      </c>
    </row>
    <row r="52" spans="1:4">
      <c r="A52" s="128" t="s">
        <v>55</v>
      </c>
      <c r="B52" t="s">
        <v>86</v>
      </c>
      <c r="C52" s="137">
        <v>0.006</v>
      </c>
      <c r="D52" s="135">
        <f t="shared" si="0"/>
        <v>18.84</v>
      </c>
    </row>
    <row r="53" spans="1:4">
      <c r="A53" s="128" t="s">
        <v>87</v>
      </c>
      <c r="B53" t="s">
        <v>88</v>
      </c>
      <c r="C53" s="137">
        <v>0.002</v>
      </c>
      <c r="D53" s="135">
        <f t="shared" si="0"/>
        <v>6.28</v>
      </c>
    </row>
    <row r="54" spans="1:4">
      <c r="A54" s="128" t="s">
        <v>89</v>
      </c>
      <c r="B54" t="s">
        <v>90</v>
      </c>
      <c r="C54" s="137">
        <v>0.08</v>
      </c>
      <c r="D54" s="135">
        <f t="shared" si="0"/>
        <v>251.21</v>
      </c>
    </row>
    <row r="55" spans="1:4">
      <c r="A55" s="128" t="s">
        <v>58</v>
      </c>
      <c r="C55" s="144">
        <f>SUM(C47:C54)</f>
        <v>0.398</v>
      </c>
      <c r="D55" s="135">
        <f>TRUNC((SUM(D47:D54)),2)</f>
        <v>1249.77</v>
      </c>
    </row>
    <row r="56" spans="1:4">
      <c r="A56" s="128"/>
      <c r="C56" s="144"/>
      <c r="D56" s="135"/>
    </row>
    <row r="57" spans="1:4">
      <c r="A57" s="126" t="s">
        <v>95</v>
      </c>
      <c r="B57" s="126"/>
      <c r="C57" s="126"/>
      <c r="D57" s="126"/>
    </row>
    <row r="58" spans="1:4">
      <c r="A58" s="128" t="s">
        <v>96</v>
      </c>
      <c r="B58" s="133" t="s">
        <v>97</v>
      </c>
      <c r="C58" s="128" t="s">
        <v>18</v>
      </c>
      <c r="D58" s="128" t="s">
        <v>19</v>
      </c>
    </row>
    <row r="59" spans="1:4">
      <c r="A59" s="128" t="s">
        <v>42</v>
      </c>
      <c r="B59" t="s">
        <v>98</v>
      </c>
      <c r="C59" s="129"/>
      <c r="D59" s="146">
        <f>TRUNC(((22*4.4)*2)-((D25/100)*6),2)</f>
        <v>35.86</v>
      </c>
    </row>
    <row r="60" spans="1:4">
      <c r="A60" s="128" t="s">
        <v>45</v>
      </c>
      <c r="B60" t="s">
        <v>99</v>
      </c>
      <c r="C60" s="129" t="str">
        <f>C9</f>
        <v>CCT PB000035/2019*</v>
      </c>
      <c r="D60" s="130">
        <v>600</v>
      </c>
    </row>
    <row r="61" spans="1:4">
      <c r="A61" s="128" t="s">
        <v>48</v>
      </c>
      <c r="B61" t="s">
        <v>100</v>
      </c>
      <c r="C61" s="129"/>
      <c r="D61" s="130">
        <v>0</v>
      </c>
    </row>
    <row r="62" spans="1:6">
      <c r="A62" s="147" t="s">
        <v>50</v>
      </c>
      <c r="B62" s="148" t="s">
        <v>206</v>
      </c>
      <c r="C62" s="149"/>
      <c r="D62" s="149">
        <v>0</v>
      </c>
      <c r="F62" s="148"/>
    </row>
    <row r="63" spans="1:4">
      <c r="A63" s="128" t="s">
        <v>53</v>
      </c>
      <c r="B63" s="133" t="s">
        <v>207</v>
      </c>
      <c r="C63" s="129"/>
      <c r="D63" s="130">
        <v>0</v>
      </c>
    </row>
    <row r="64" spans="1:4">
      <c r="A64" s="128" t="s">
        <v>55</v>
      </c>
      <c r="B64" s="150" t="s">
        <v>208</v>
      </c>
      <c r="C64" s="149"/>
      <c r="D64" s="130">
        <v>0</v>
      </c>
    </row>
    <row r="65" spans="1:4">
      <c r="A65" s="128" t="s">
        <v>58</v>
      </c>
      <c r="D65" s="135">
        <f>TRUNC((SUM(D59:D64)),2)</f>
        <v>635.86</v>
      </c>
    </row>
    <row r="66" spans="1:4">
      <c r="A66" s="128"/>
      <c r="D66" s="135"/>
    </row>
    <row r="67" spans="1:4">
      <c r="A67" s="126" t="s">
        <v>105</v>
      </c>
      <c r="B67" s="126"/>
      <c r="C67" s="126"/>
      <c r="D67" s="126"/>
    </row>
    <row r="68" spans="1:4">
      <c r="A68" s="128" t="s">
        <v>106</v>
      </c>
      <c r="B68" s="133" t="s">
        <v>107</v>
      </c>
      <c r="C68" s="128" t="s">
        <v>18</v>
      </c>
      <c r="D68" s="128" t="s">
        <v>19</v>
      </c>
    </row>
    <row r="69" spans="1:4">
      <c r="A69" s="128" t="s">
        <v>65</v>
      </c>
      <c r="B69" t="s">
        <v>66</v>
      </c>
      <c r="C69" s="128"/>
      <c r="D69" s="135">
        <f>D39</f>
        <v>511.19</v>
      </c>
    </row>
    <row r="70" spans="1:4">
      <c r="A70" s="128" t="s">
        <v>78</v>
      </c>
      <c r="B70" t="s">
        <v>79</v>
      </c>
      <c r="C70" s="128"/>
      <c r="D70" s="135">
        <f>D55</f>
        <v>1249.77</v>
      </c>
    </row>
    <row r="71" spans="1:4">
      <c r="A71" s="128" t="s">
        <v>96</v>
      </c>
      <c r="B71" t="s">
        <v>97</v>
      </c>
      <c r="C71" s="128"/>
      <c r="D71" s="135">
        <f>D65</f>
        <v>635.86</v>
      </c>
    </row>
    <row r="72" spans="1:4">
      <c r="A72" s="128" t="s">
        <v>58</v>
      </c>
      <c r="C72" s="128"/>
      <c r="D72" s="135">
        <f>TRUNC(SUM(D69:D71),2)</f>
        <v>2396.82</v>
      </c>
    </row>
    <row r="74" spans="1:4">
      <c r="A74" s="110" t="s">
        <v>108</v>
      </c>
      <c r="B74" s="110"/>
      <c r="C74" s="110"/>
      <c r="D74" s="110"/>
    </row>
    <row r="75" spans="1:4">
      <c r="A75" s="128" t="s">
        <v>109</v>
      </c>
      <c r="B75" s="133" t="s">
        <v>110</v>
      </c>
      <c r="C75" s="128" t="s">
        <v>38</v>
      </c>
      <c r="D75" s="128" t="s">
        <v>19</v>
      </c>
    </row>
    <row r="76" spans="1:4">
      <c r="A76" s="128" t="s">
        <v>42</v>
      </c>
      <c r="B76" t="s">
        <v>111</v>
      </c>
      <c r="C76" s="145">
        <f>((1/12)*2%)</f>
        <v>0.00166666666666667</v>
      </c>
      <c r="D76" s="130">
        <f>TRUNC(($D$31*C76),2)</f>
        <v>4.38</v>
      </c>
    </row>
    <row r="77" spans="1:4">
      <c r="A77" s="128" t="s">
        <v>45</v>
      </c>
      <c r="B77" t="s">
        <v>112</v>
      </c>
      <c r="C77" s="151">
        <v>0.08</v>
      </c>
      <c r="D77" s="135">
        <f>TRUNC(($D$76*C77),2)</f>
        <v>0.35</v>
      </c>
    </row>
    <row r="78" ht="30" spans="1:4">
      <c r="A78" s="128" t="s">
        <v>48</v>
      </c>
      <c r="B78" s="152" t="s">
        <v>113</v>
      </c>
      <c r="C78" s="153">
        <f>(0.08*0.4*0.02)</f>
        <v>0.00064</v>
      </c>
      <c r="D78" s="149">
        <f>TRUNC(($D$31*C78),2)</f>
        <v>1.68</v>
      </c>
    </row>
    <row r="79" spans="1:4">
      <c r="A79" s="128" t="s">
        <v>50</v>
      </c>
      <c r="B79" t="s">
        <v>114</v>
      </c>
      <c r="C79" s="154">
        <f>(((7/30)/12)*0.98)</f>
        <v>0.0190555555555556</v>
      </c>
      <c r="D79" s="155">
        <f>TRUNC(($D$31*C79),2)</f>
        <v>50.09</v>
      </c>
    </row>
    <row r="80" ht="30" spans="1:4">
      <c r="A80" s="128" t="s">
        <v>53</v>
      </c>
      <c r="B80" s="152" t="s">
        <v>210</v>
      </c>
      <c r="C80" s="153">
        <f>C54</f>
        <v>0.08</v>
      </c>
      <c r="D80" s="149">
        <f>TRUNC(($D$79*C80),2)</f>
        <v>4</v>
      </c>
    </row>
    <row r="81" ht="30" spans="1:4">
      <c r="A81" s="128" t="s">
        <v>55</v>
      </c>
      <c r="B81" s="152" t="s">
        <v>115</v>
      </c>
      <c r="C81" s="154">
        <f>(0.08*0.4*0.98)</f>
        <v>0.03136</v>
      </c>
      <c r="D81" s="149">
        <f>TRUNC(($D$31*C81),2)</f>
        <v>82.44</v>
      </c>
    </row>
    <row r="82" spans="1:4">
      <c r="A82" s="128" t="s">
        <v>58</v>
      </c>
      <c r="C82" s="151">
        <f>SUM(C76:C81)</f>
        <v>0.212722222222222</v>
      </c>
      <c r="D82" s="135">
        <f>TRUNC((SUM(D76:D81)),2)</f>
        <v>142.94</v>
      </c>
    </row>
    <row r="83" ht="15.75" spans="1:4">
      <c r="A83" s="128"/>
      <c r="D83" s="135"/>
    </row>
    <row r="84" ht="16.5" spans="1:4">
      <c r="A84" s="139" t="s">
        <v>211</v>
      </c>
      <c r="B84" s="139"/>
      <c r="C84" s="140" t="s">
        <v>202</v>
      </c>
      <c r="D84" s="141">
        <f>D31</f>
        <v>2629</v>
      </c>
    </row>
    <row r="85" ht="16.5" spans="1:4">
      <c r="A85" s="139"/>
      <c r="B85" s="139"/>
      <c r="C85" s="142" t="s">
        <v>212</v>
      </c>
      <c r="D85" s="141">
        <f>D72</f>
        <v>2396.82</v>
      </c>
    </row>
    <row r="86" ht="16.5" spans="1:4">
      <c r="A86" s="139"/>
      <c r="B86" s="139"/>
      <c r="C86" s="140" t="s">
        <v>213</v>
      </c>
      <c r="D86" s="141">
        <f>D82</f>
        <v>142.94</v>
      </c>
    </row>
    <row r="87" ht="16.5" spans="1:4">
      <c r="A87" s="139"/>
      <c r="B87" s="139"/>
      <c r="C87" s="142" t="s">
        <v>204</v>
      </c>
      <c r="D87" s="143">
        <f>TRUNC((SUM(D84:D86)),2)</f>
        <v>5168.76</v>
      </c>
    </row>
    <row r="88" ht="15.75" spans="1:4">
      <c r="A88" s="128"/>
      <c r="D88" s="135"/>
    </row>
    <row r="89" spans="1:4">
      <c r="A89" s="156" t="s">
        <v>127</v>
      </c>
      <c r="B89" s="156"/>
      <c r="C89" s="156"/>
      <c r="D89" s="156"/>
    </row>
    <row r="90" spans="1:4">
      <c r="A90" s="126" t="s">
        <v>128</v>
      </c>
      <c r="B90" s="126"/>
      <c r="C90" s="126"/>
      <c r="D90" s="126"/>
    </row>
    <row r="91" spans="1:4">
      <c r="A91" s="128" t="s">
        <v>129</v>
      </c>
      <c r="B91" s="133" t="s">
        <v>130</v>
      </c>
      <c r="C91" s="128" t="s">
        <v>38</v>
      </c>
      <c r="D91" s="128" t="s">
        <v>19</v>
      </c>
    </row>
    <row r="92" spans="1:4">
      <c r="A92" s="128" t="s">
        <v>42</v>
      </c>
      <c r="B92" t="s">
        <v>214</v>
      </c>
      <c r="C92" s="151">
        <f>(((1+1/3)/12)/12)+((1/12)/12)</f>
        <v>0.0162037037037037</v>
      </c>
      <c r="D92" s="135">
        <f>TRUNC(($D$87*C92),2)</f>
        <v>83.75</v>
      </c>
    </row>
    <row r="93" spans="1:4">
      <c r="A93" s="128" t="s">
        <v>45</v>
      </c>
      <c r="B93" t="s">
        <v>133</v>
      </c>
      <c r="C93" s="145">
        <f>((5/30)/12)</f>
        <v>0.0138888888888889</v>
      </c>
      <c r="D93" s="149">
        <f t="shared" ref="D92:D96" si="1">TRUNC(($D$87*C93),2)</f>
        <v>71.78</v>
      </c>
    </row>
    <row r="94" spans="1:4">
      <c r="A94" s="128" t="s">
        <v>48</v>
      </c>
      <c r="B94" t="s">
        <v>134</v>
      </c>
      <c r="C94" s="145">
        <f>((5/30)/12)*0.02</f>
        <v>0.000277777777777778</v>
      </c>
      <c r="D94" s="149">
        <f t="shared" si="1"/>
        <v>1.43</v>
      </c>
    </row>
    <row r="95" ht="30" spans="1:4">
      <c r="A95" s="147" t="s">
        <v>50</v>
      </c>
      <c r="B95" s="152" t="s">
        <v>135</v>
      </c>
      <c r="C95" s="153">
        <f>((15/30)/12)*0.08</f>
        <v>0.00333333333333333</v>
      </c>
      <c r="D95" s="149">
        <f t="shared" si="1"/>
        <v>17.22</v>
      </c>
    </row>
    <row r="96" spans="1:4">
      <c r="A96" s="128" t="s">
        <v>53</v>
      </c>
      <c r="B96" t="s">
        <v>136</v>
      </c>
      <c r="C96" s="145">
        <f>((1+1/3)/12)*0.03*((4/12))</f>
        <v>0.00111111111111111</v>
      </c>
      <c r="D96" s="149">
        <f t="shared" si="1"/>
        <v>5.74</v>
      </c>
    </row>
    <row r="97" ht="30" spans="1:4">
      <c r="A97" s="128" t="s">
        <v>55</v>
      </c>
      <c r="B97" s="152" t="s">
        <v>215</v>
      </c>
      <c r="C97" s="157">
        <v>0</v>
      </c>
      <c r="D97" s="149">
        <f>TRUNC($D$87*C97)</f>
        <v>0</v>
      </c>
    </row>
    <row r="98" spans="1:4">
      <c r="A98" s="128" t="s">
        <v>58</v>
      </c>
      <c r="C98" s="151">
        <f>SUM(C92:C97)</f>
        <v>0.0348148148148148</v>
      </c>
      <c r="D98" s="135">
        <f>TRUNC((SUM(D92:D97)),2)</f>
        <v>179.92</v>
      </c>
    </row>
    <row r="99" spans="1:4">
      <c r="A99" s="128"/>
      <c r="C99" s="128"/>
      <c r="D99" s="135"/>
    </row>
    <row r="100" spans="1:4">
      <c r="A100" s="126" t="s">
        <v>144</v>
      </c>
      <c r="B100" s="126"/>
      <c r="C100" s="126"/>
      <c r="D100" s="126"/>
    </row>
    <row r="101" spans="1:4">
      <c r="A101" s="128" t="s">
        <v>145</v>
      </c>
      <c r="B101" s="133" t="s">
        <v>146</v>
      </c>
      <c r="C101" s="128" t="s">
        <v>18</v>
      </c>
      <c r="D101" s="128" t="s">
        <v>19</v>
      </c>
    </row>
    <row r="102" ht="105" spans="1:4">
      <c r="A102" s="147" t="s">
        <v>42</v>
      </c>
      <c r="B102" s="158" t="s">
        <v>147</v>
      </c>
      <c r="C102" s="159" t="s">
        <v>216</v>
      </c>
      <c r="D102" s="160" t="s">
        <v>217</v>
      </c>
    </row>
    <row r="103" spans="1:4">
      <c r="A103" s="128" t="s">
        <v>58</v>
      </c>
      <c r="C103" s="161"/>
      <c r="D103" s="162" t="str">
        <f>D102</f>
        <v>*=TRUNCAR(($D$86/220)*(1*(365/12))/2)</v>
      </c>
    </row>
    <row r="105" spans="1:4">
      <c r="A105" s="126" t="s">
        <v>148</v>
      </c>
      <c r="B105" s="126"/>
      <c r="C105" s="126"/>
      <c r="D105" s="126"/>
    </row>
    <row r="106" spans="1:4">
      <c r="A106" s="128" t="s">
        <v>149</v>
      </c>
      <c r="B106" s="133" t="s">
        <v>150</v>
      </c>
      <c r="C106" s="128" t="s">
        <v>18</v>
      </c>
      <c r="D106" s="128" t="s">
        <v>19</v>
      </c>
    </row>
    <row r="107" spans="1:4">
      <c r="A107" s="128" t="s">
        <v>129</v>
      </c>
      <c r="B107" t="s">
        <v>130</v>
      </c>
      <c r="D107" s="130">
        <f>D98</f>
        <v>179.92</v>
      </c>
    </row>
    <row r="108" spans="1:4">
      <c r="A108" s="128" t="s">
        <v>145</v>
      </c>
      <c r="B108" t="s">
        <v>151</v>
      </c>
      <c r="C108" s="133"/>
      <c r="D108" s="163" t="str">
        <f>Submódulo4.260_81[[#Totals],[Valor]]</f>
        <v>*=TRUNCAR(($D$86/220)*(1*(365/12))/2)</v>
      </c>
    </row>
    <row r="109" ht="75" spans="1:4">
      <c r="A109" s="147" t="s">
        <v>58</v>
      </c>
      <c r="B109" s="148"/>
      <c r="C109" s="159" t="s">
        <v>218</v>
      </c>
      <c r="D109" s="164">
        <f>TRUNC((SUM(D107:D108)),2)</f>
        <v>179.92</v>
      </c>
    </row>
    <row r="111" spans="1:4">
      <c r="A111" s="110" t="s">
        <v>152</v>
      </c>
      <c r="B111" s="110"/>
      <c r="C111" s="110"/>
      <c r="D111" s="110"/>
    </row>
    <row r="112" spans="1:4">
      <c r="A112" s="128" t="s">
        <v>153</v>
      </c>
      <c r="B112" s="133" t="s">
        <v>154</v>
      </c>
      <c r="C112" s="128" t="s">
        <v>18</v>
      </c>
      <c r="D112" s="128" t="s">
        <v>19</v>
      </c>
    </row>
    <row r="113" spans="1:4">
      <c r="A113" s="128" t="s">
        <v>42</v>
      </c>
      <c r="B113" t="s">
        <v>219</v>
      </c>
      <c r="D113" s="165">
        <f>Uniformes!G13</f>
        <v>79.19</v>
      </c>
    </row>
    <row r="114" spans="1:4">
      <c r="A114" s="128" t="s">
        <v>45</v>
      </c>
      <c r="B114" t="s">
        <v>220</v>
      </c>
      <c r="D114" s="165">
        <v>0</v>
      </c>
    </row>
    <row r="115" spans="1:4">
      <c r="A115" s="128" t="s">
        <v>48</v>
      </c>
      <c r="B115" t="s">
        <v>156</v>
      </c>
      <c r="D115" s="165">
        <v>0</v>
      </c>
    </row>
    <row r="116" spans="1:4">
      <c r="A116" s="128" t="s">
        <v>50</v>
      </c>
      <c r="B116" t="s">
        <v>157</v>
      </c>
      <c r="D116" s="165">
        <v>0</v>
      </c>
    </row>
    <row r="117" spans="1:4">
      <c r="A117" s="128" t="s">
        <v>53</v>
      </c>
      <c r="B117" t="s">
        <v>221</v>
      </c>
      <c r="D117" s="165">
        <f>H116</f>
        <v>0</v>
      </c>
    </row>
    <row r="118" spans="1:4">
      <c r="A118" s="128" t="s">
        <v>58</v>
      </c>
      <c r="D118" s="166">
        <f>TRUNC(SUM(D113:D117),2)</f>
        <v>79.19</v>
      </c>
    </row>
    <row r="119" ht="15.75"/>
    <row r="120" ht="16.5" spans="1:4">
      <c r="A120" s="139" t="s">
        <v>222</v>
      </c>
      <c r="B120" s="139"/>
      <c r="C120" s="140" t="s">
        <v>202</v>
      </c>
      <c r="D120" s="141">
        <f>D31</f>
        <v>2629</v>
      </c>
    </row>
    <row r="121" ht="16.5" spans="1:4">
      <c r="A121" s="139"/>
      <c r="B121" s="139"/>
      <c r="C121" s="142" t="s">
        <v>212</v>
      </c>
      <c r="D121" s="141">
        <f>D72</f>
        <v>2396.82</v>
      </c>
    </row>
    <row r="122" ht="16.5" spans="1:4">
      <c r="A122" s="139"/>
      <c r="B122" s="139"/>
      <c r="C122" s="140" t="s">
        <v>213</v>
      </c>
      <c r="D122" s="141">
        <f>D82</f>
        <v>142.94</v>
      </c>
    </row>
    <row r="123" ht="16.5" spans="1:4">
      <c r="A123" s="139"/>
      <c r="B123" s="139"/>
      <c r="C123" s="142" t="s">
        <v>223</v>
      </c>
      <c r="D123" s="141">
        <f>D109</f>
        <v>179.92</v>
      </c>
    </row>
    <row r="124" ht="16.5" spans="1:4">
      <c r="A124" s="139"/>
      <c r="B124" s="139"/>
      <c r="C124" s="140" t="s">
        <v>224</v>
      </c>
      <c r="D124" s="141">
        <f>D118</f>
        <v>79.19</v>
      </c>
    </row>
    <row r="125" ht="16.5" spans="1:4">
      <c r="A125" s="139"/>
      <c r="B125" s="139"/>
      <c r="C125" s="142" t="s">
        <v>204</v>
      </c>
      <c r="D125" s="143">
        <f>TRUNC((SUM(D120:D124)),2)</f>
        <v>5427.87</v>
      </c>
    </row>
    <row r="126" ht="15.75"/>
    <row r="127" spans="1:4">
      <c r="A127" s="110" t="s">
        <v>164</v>
      </c>
      <c r="B127" s="110"/>
      <c r="C127" s="110"/>
      <c r="D127" s="110"/>
    </row>
    <row r="128" ht="15.75" spans="1:7">
      <c r="A128" s="128" t="s">
        <v>165</v>
      </c>
      <c r="B128" t="s">
        <v>166</v>
      </c>
      <c r="C128" s="128" t="s">
        <v>38</v>
      </c>
      <c r="D128" s="128" t="s">
        <v>19</v>
      </c>
      <c r="F128" s="167" t="s">
        <v>225</v>
      </c>
      <c r="G128" s="167"/>
    </row>
    <row r="129" ht="15.75" spans="1:7">
      <c r="A129" s="128" t="s">
        <v>42</v>
      </c>
      <c r="B129" t="s">
        <v>167</v>
      </c>
      <c r="C129" s="168">
        <v>0.04</v>
      </c>
      <c r="D129" s="165">
        <f>TRUNC(($D$125*C129),2)</f>
        <v>217.11</v>
      </c>
      <c r="F129" s="169" t="s">
        <v>226</v>
      </c>
      <c r="G129" s="153">
        <f>C131</f>
        <v>0.0865</v>
      </c>
    </row>
    <row r="130" ht="15.75" spans="1:7">
      <c r="A130" s="128" t="s">
        <v>45</v>
      </c>
      <c r="B130" t="s">
        <v>59</v>
      </c>
      <c r="C130" s="168">
        <v>0.05</v>
      </c>
      <c r="D130" s="165">
        <f>TRUNC((C130*(D125+D129)),2)</f>
        <v>282.24</v>
      </c>
      <c r="F130" s="170" t="s">
        <v>227</v>
      </c>
      <c r="G130" s="171">
        <f>TRUNC(SUM(D125,D129,D130),2)</f>
        <v>5927.22</v>
      </c>
    </row>
    <row r="131" ht="15.75" spans="1:7">
      <c r="A131" s="128" t="s">
        <v>48</v>
      </c>
      <c r="B131" t="s">
        <v>168</v>
      </c>
      <c r="C131" s="145">
        <f>SUM(C132:C134)</f>
        <v>0.0865</v>
      </c>
      <c r="D131" s="130">
        <f>TRUNC(SUM(D132:D134),2)</f>
        <v>561.24</v>
      </c>
      <c r="F131" s="169" t="s">
        <v>228</v>
      </c>
      <c r="G131" s="172">
        <f>(100-8.65)/100</f>
        <v>0.9135</v>
      </c>
    </row>
    <row r="132" ht="15.75" spans="1:7">
      <c r="A132" s="128"/>
      <c r="B132" t="s">
        <v>229</v>
      </c>
      <c r="C132" s="145">
        <v>0.0065</v>
      </c>
      <c r="D132" s="130">
        <f>TRUNC(($G$132*C132),2)</f>
        <v>42.17</v>
      </c>
      <c r="F132" s="170" t="s">
        <v>225</v>
      </c>
      <c r="G132" s="171">
        <f>TRUNC((G130/G131),2)</f>
        <v>6488.47</v>
      </c>
    </row>
    <row r="133" ht="15.75" spans="1:4">
      <c r="A133" s="128"/>
      <c r="B133" t="s">
        <v>230</v>
      </c>
      <c r="C133" s="145">
        <v>0.03</v>
      </c>
      <c r="D133" s="130">
        <f>TRUNC(($G$132*C133),2)</f>
        <v>194.65</v>
      </c>
    </row>
    <row r="134" spans="1:4">
      <c r="A134" s="128"/>
      <c r="B134" t="s">
        <v>231</v>
      </c>
      <c r="C134" s="145">
        <v>0.05</v>
      </c>
      <c r="D134" s="130">
        <f t="shared" ref="D132:D134" si="2">TRUNC(($G$132*C134),2)</f>
        <v>324.42</v>
      </c>
    </row>
    <row r="135" spans="1:4">
      <c r="A135" s="128" t="s">
        <v>58</v>
      </c>
      <c r="C135" s="173"/>
      <c r="D135" s="135">
        <f>TRUNC(SUM(D129:D131),2)</f>
        <v>1060.59</v>
      </c>
    </row>
    <row r="136" spans="1:4">
      <c r="A136" s="128"/>
      <c r="C136" s="173"/>
      <c r="D136" s="135"/>
    </row>
    <row r="138" spans="1:4">
      <c r="A138" s="110" t="s">
        <v>172</v>
      </c>
      <c r="B138" s="110"/>
      <c r="C138" s="110"/>
      <c r="D138" s="110"/>
    </row>
    <row r="139" spans="1:4">
      <c r="A139" s="128" t="s">
        <v>16</v>
      </c>
      <c r="B139" s="128" t="s">
        <v>173</v>
      </c>
      <c r="C139" s="128" t="s">
        <v>102</v>
      </c>
      <c r="D139" s="128" t="s">
        <v>19</v>
      </c>
    </row>
    <row r="140" spans="1:4">
      <c r="A140" s="128" t="s">
        <v>42</v>
      </c>
      <c r="B140" t="s">
        <v>36</v>
      </c>
      <c r="D140" s="135">
        <f>D31</f>
        <v>2629</v>
      </c>
    </row>
    <row r="141" spans="1:4">
      <c r="A141" s="128" t="s">
        <v>45</v>
      </c>
      <c r="B141" t="s">
        <v>61</v>
      </c>
      <c r="D141" s="135">
        <f>D72</f>
        <v>2396.82</v>
      </c>
    </row>
    <row r="142" spans="1:4">
      <c r="A142" s="128" t="s">
        <v>48</v>
      </c>
      <c r="B142" t="s">
        <v>108</v>
      </c>
      <c r="D142" s="135">
        <f>D82</f>
        <v>142.94</v>
      </c>
    </row>
    <row r="143" spans="1:4">
      <c r="A143" s="128" t="s">
        <v>50</v>
      </c>
      <c r="B143" t="s">
        <v>174</v>
      </c>
      <c r="D143" s="135">
        <f>D109</f>
        <v>179.92</v>
      </c>
    </row>
    <row r="144" spans="1:4">
      <c r="A144" s="128" t="s">
        <v>53</v>
      </c>
      <c r="B144" t="s">
        <v>152</v>
      </c>
      <c r="D144" s="135">
        <f>D118</f>
        <v>79.19</v>
      </c>
    </row>
    <row r="145" spans="2:4">
      <c r="B145" s="174" t="s">
        <v>175</v>
      </c>
      <c r="D145" s="135">
        <f>TRUNC(SUM(D140:D144),2)</f>
        <v>5427.87</v>
      </c>
    </row>
    <row r="146" spans="1:4">
      <c r="A146" s="128" t="s">
        <v>55</v>
      </c>
      <c r="B146" t="s">
        <v>164</v>
      </c>
      <c r="D146" s="135">
        <f>D135</f>
        <v>1060.59</v>
      </c>
    </row>
    <row r="147" spans="1:4">
      <c r="A147" s="175"/>
      <c r="B147" s="176" t="s">
        <v>233</v>
      </c>
      <c r="C147" s="175"/>
      <c r="D147" s="177">
        <f>TRUNC((SUM(D140:D144)+D146),2)</f>
        <v>6488.46</v>
      </c>
    </row>
    <row r="149" spans="1:1">
      <c r="A149" s="178" t="s">
        <v>252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J9" sqref="J9"/>
    </sheetView>
  </sheetViews>
  <sheetFormatPr defaultColWidth="8.88571428571429" defaultRowHeight="15"/>
  <cols>
    <col min="2" max="2" width="36.3333333333333" customWidth="1"/>
    <col min="3" max="3" width="24.1142857142857" customWidth="1"/>
    <col min="4" max="4" width="13" customWidth="1"/>
    <col min="5" max="5" width="30.6666666666667" customWidth="1"/>
    <col min="9" max="9" width="22.552380952381" customWidth="1"/>
    <col min="10" max="10" width="17.7809523809524" customWidth="1"/>
  </cols>
  <sheetData>
    <row r="1" ht="16.5" spans="2:10">
      <c r="B1" s="45" t="s">
        <v>253</v>
      </c>
      <c r="C1" s="46"/>
      <c r="D1" s="46"/>
      <c r="E1" s="47"/>
      <c r="F1" s="12"/>
      <c r="G1" s="12"/>
      <c r="H1" s="12"/>
      <c r="I1" s="12"/>
      <c r="J1" s="12"/>
    </row>
    <row r="2" ht="33" spans="2:10">
      <c r="B2" s="48" t="s">
        <v>254</v>
      </c>
      <c r="C2" s="49" t="s">
        <v>255</v>
      </c>
      <c r="D2" s="50" t="s">
        <v>256</v>
      </c>
      <c r="E2" s="51"/>
      <c r="F2" s="12"/>
      <c r="G2" s="12"/>
      <c r="H2" s="12"/>
      <c r="I2" s="12"/>
      <c r="J2" s="12"/>
    </row>
    <row r="3" ht="17.25" spans="2:10">
      <c r="B3" s="52" t="s">
        <v>257</v>
      </c>
      <c r="C3" s="53" t="s">
        <v>258</v>
      </c>
      <c r="D3" s="54" t="s">
        <v>259</v>
      </c>
      <c r="E3" s="55"/>
      <c r="F3" s="12"/>
      <c r="G3" s="12"/>
      <c r="H3" s="12"/>
      <c r="I3" s="12"/>
      <c r="J3" s="12"/>
    </row>
    <row r="4" ht="17.25" spans="2:10">
      <c r="B4" s="56">
        <f>RESUMO!D8</f>
        <v>200</v>
      </c>
      <c r="C4" s="57">
        <f>E19</f>
        <v>190.91</v>
      </c>
      <c r="D4" s="58">
        <f>TRUNC((B4*C4),2)</f>
        <v>38182</v>
      </c>
      <c r="E4" s="59"/>
      <c r="F4" s="12"/>
      <c r="G4" s="12"/>
      <c r="H4" s="60"/>
      <c r="I4" s="60"/>
      <c r="J4" s="60"/>
    </row>
    <row r="5" ht="17.25" spans="2:10">
      <c r="B5" s="61"/>
      <c r="C5" s="62"/>
      <c r="D5" s="62"/>
      <c r="E5" s="63"/>
      <c r="F5" s="12"/>
      <c r="G5" s="12"/>
      <c r="H5" s="60"/>
      <c r="I5" s="95" t="s">
        <v>225</v>
      </c>
      <c r="J5" s="96"/>
    </row>
    <row r="6" ht="17.25" spans="2:10">
      <c r="B6" s="61"/>
      <c r="C6" s="62"/>
      <c r="D6" s="62"/>
      <c r="E6" s="63"/>
      <c r="F6" s="12"/>
      <c r="G6" s="12"/>
      <c r="H6" s="60"/>
      <c r="I6" s="97" t="s">
        <v>226</v>
      </c>
      <c r="J6" s="98">
        <f>D18</f>
        <v>0.0865</v>
      </c>
    </row>
    <row r="7" ht="16.5" spans="2:10">
      <c r="B7" s="45" t="s">
        <v>260</v>
      </c>
      <c r="C7" s="46"/>
      <c r="D7" s="46"/>
      <c r="E7" s="47"/>
      <c r="F7" s="12"/>
      <c r="G7" s="12"/>
      <c r="H7" s="60"/>
      <c r="I7" s="99" t="s">
        <v>261</v>
      </c>
      <c r="J7" s="100">
        <f>E13</f>
        <v>174.4</v>
      </c>
    </row>
    <row r="8" ht="17.25" spans="2:10">
      <c r="B8" s="49" t="s">
        <v>262</v>
      </c>
      <c r="C8" s="49"/>
      <c r="D8" s="49"/>
      <c r="E8" s="64">
        <v>160</v>
      </c>
      <c r="F8" s="12"/>
      <c r="G8" s="12"/>
      <c r="H8" s="60"/>
      <c r="I8" s="97" t="s">
        <v>263</v>
      </c>
      <c r="J8" s="101">
        <f>(1-J6)</f>
        <v>0.9135</v>
      </c>
    </row>
    <row r="9" ht="16.5" spans="2:10">
      <c r="B9" s="65" t="s">
        <v>264</v>
      </c>
      <c r="C9" s="66"/>
      <c r="D9" s="67" t="s">
        <v>265</v>
      </c>
      <c r="E9" s="68" t="s">
        <v>266</v>
      </c>
      <c r="F9" s="12"/>
      <c r="G9" s="12"/>
      <c r="H9" s="60"/>
      <c r="I9" s="102"/>
      <c r="J9" s="102"/>
    </row>
    <row r="10" ht="15.75" spans="2:10">
      <c r="B10" s="69" t="s">
        <v>267</v>
      </c>
      <c r="C10" s="70"/>
      <c r="D10" s="71">
        <f>'Motorista Interestadual'!C129</f>
        <v>0.04</v>
      </c>
      <c r="E10" s="72">
        <f>TRUNC((E8*D10),2)</f>
        <v>6.4</v>
      </c>
      <c r="F10" s="12"/>
      <c r="G10" s="12"/>
      <c r="H10" s="60"/>
      <c r="I10" s="102"/>
      <c r="J10" s="102"/>
    </row>
    <row r="11" ht="16.5" spans="2:10">
      <c r="B11" s="73" t="s">
        <v>268</v>
      </c>
      <c r="C11" s="74"/>
      <c r="D11" s="71">
        <f>'Motorista Interestadual'!C130</f>
        <v>0.05</v>
      </c>
      <c r="E11" s="72">
        <f>TRUNC((E8*D11),2)</f>
        <v>8</v>
      </c>
      <c r="F11" s="12"/>
      <c r="G11" s="12"/>
      <c r="H11" s="60"/>
      <c r="I11" s="60"/>
      <c r="J11" s="60"/>
    </row>
    <row r="12" ht="17.25" spans="2:10">
      <c r="B12" s="75" t="s">
        <v>269</v>
      </c>
      <c r="C12" s="50"/>
      <c r="D12" s="51"/>
      <c r="E12" s="76">
        <f>TRUNC((SUM(E10:E11)),2)</f>
        <v>14.4</v>
      </c>
      <c r="F12" s="12"/>
      <c r="G12" s="12"/>
      <c r="H12" s="60"/>
      <c r="I12" s="60"/>
      <c r="J12" s="60"/>
    </row>
    <row r="13" ht="17.25" spans="2:10">
      <c r="B13" s="77" t="s">
        <v>204</v>
      </c>
      <c r="C13" s="78"/>
      <c r="D13" s="79"/>
      <c r="E13" s="76">
        <f>TRUNC((E8+E12),2)</f>
        <v>174.4</v>
      </c>
      <c r="F13" s="12"/>
      <c r="G13" s="12"/>
      <c r="H13" s="60"/>
      <c r="I13" s="60"/>
      <c r="J13" s="60"/>
    </row>
    <row r="14" ht="16.5" spans="2:10">
      <c r="B14" s="80" t="s">
        <v>270</v>
      </c>
      <c r="C14" s="81"/>
      <c r="D14" s="82" t="s">
        <v>265</v>
      </c>
      <c r="E14" s="83" t="s">
        <v>271</v>
      </c>
      <c r="F14" s="12"/>
      <c r="G14" s="12"/>
      <c r="H14" s="12"/>
      <c r="I14" s="12"/>
      <c r="J14" s="12"/>
    </row>
    <row r="15" ht="15.75" spans="2:10">
      <c r="B15" s="69" t="s">
        <v>64</v>
      </c>
      <c r="C15" s="70"/>
      <c r="D15" s="71">
        <f>'Motorista Interestadual'!C132</f>
        <v>0.0065</v>
      </c>
      <c r="E15" s="72">
        <f>(J7/J8)*(D15)</f>
        <v>1.24094143404488</v>
      </c>
      <c r="F15" s="12"/>
      <c r="G15" s="12"/>
      <c r="H15" s="12"/>
      <c r="I15" s="12"/>
      <c r="J15" s="12"/>
    </row>
    <row r="16" ht="15.75" spans="2:10">
      <c r="B16" s="73" t="s">
        <v>62</v>
      </c>
      <c r="C16" s="74"/>
      <c r="D16" s="71">
        <f>'Motorista Interestadual'!C133</f>
        <v>0.03</v>
      </c>
      <c r="E16" s="72">
        <f>(J7/J8)*(D16)</f>
        <v>5.72742200328407</v>
      </c>
      <c r="F16" s="12"/>
      <c r="G16" s="12"/>
      <c r="H16" s="12"/>
      <c r="I16" s="12"/>
      <c r="J16" s="12"/>
    </row>
    <row r="17" ht="15.75" spans="2:10">
      <c r="B17" s="69" t="s">
        <v>60</v>
      </c>
      <c r="C17" s="70"/>
      <c r="D17" s="71">
        <f>'Motorista Interestadual'!C134</f>
        <v>0.05</v>
      </c>
      <c r="E17" s="84">
        <f>(E13/J8)*(D17)</f>
        <v>9.54570333880679</v>
      </c>
      <c r="F17" s="12"/>
      <c r="G17" s="12"/>
      <c r="H17" s="12"/>
      <c r="I17" s="12"/>
      <c r="J17" s="12"/>
    </row>
    <row r="18" ht="16.5" spans="2:10">
      <c r="B18" s="85" t="s">
        <v>226</v>
      </c>
      <c r="C18" s="86"/>
      <c r="D18" s="87">
        <f>SUM(D15:D17)</f>
        <v>0.0865</v>
      </c>
      <c r="E18" s="88">
        <f>SUM(E15:E17)</f>
        <v>16.5140667761357</v>
      </c>
      <c r="F18" s="12"/>
      <c r="G18" s="12"/>
      <c r="H18" s="12"/>
      <c r="I18" s="12"/>
      <c r="J18" s="12"/>
    </row>
    <row r="19" ht="17.25" spans="2:10">
      <c r="B19" s="89" t="s">
        <v>204</v>
      </c>
      <c r="C19" s="90"/>
      <c r="D19" s="91"/>
      <c r="E19" s="92">
        <f>TRUNC((E13+E18),2)</f>
        <v>190.91</v>
      </c>
      <c r="F19" s="12"/>
      <c r="G19" s="12"/>
      <c r="H19" s="12"/>
      <c r="I19" s="12"/>
      <c r="J19" s="12"/>
    </row>
    <row r="20" ht="15.75" spans="2:10">
      <c r="B20" s="93"/>
      <c r="C20" s="93"/>
      <c r="D20" s="93"/>
      <c r="E20" s="93"/>
      <c r="F20" s="12"/>
      <c r="G20" s="12"/>
      <c r="H20" s="12"/>
      <c r="I20" s="12"/>
      <c r="J20" s="12"/>
    </row>
    <row r="21" spans="2:10">
      <c r="B21" s="94" t="s">
        <v>272</v>
      </c>
      <c r="C21" s="94"/>
      <c r="D21" s="94"/>
      <c r="E21" s="94"/>
      <c r="F21" s="12"/>
      <c r="G21" s="12"/>
      <c r="H21" s="12"/>
      <c r="I21" s="12"/>
      <c r="J21" s="12"/>
    </row>
    <row r="22" spans="2:10">
      <c r="B22" s="94" t="s">
        <v>273</v>
      </c>
      <c r="C22" s="94"/>
      <c r="D22" s="94"/>
      <c r="E22" s="94"/>
      <c r="F22" s="12"/>
      <c r="G22" s="12"/>
      <c r="H22" s="12"/>
      <c r="I22" s="12"/>
      <c r="J22" s="12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1"/>
  <sheetViews>
    <sheetView zoomScale="90" zoomScaleNormal="90" topLeftCell="A67" workbookViewId="0">
      <selection activeCell="A3" sqref="A3"/>
    </sheetView>
  </sheetViews>
  <sheetFormatPr defaultColWidth="9.14285714285714" defaultRowHeight="15" outlineLevelCol="7"/>
  <cols>
    <col min="2" max="2" width="15.7142857142857" style="25" customWidth="1"/>
    <col min="3" max="3" width="39.3619047619048" customWidth="1"/>
    <col min="4" max="4" width="13.4571428571429" style="1" customWidth="1"/>
    <col min="5" max="5" width="12.6952380952381" customWidth="1"/>
    <col min="6" max="6" width="14.5619047619048" customWidth="1"/>
    <col min="7" max="7" width="14.0761904761905" customWidth="1"/>
    <col min="8" max="8" width="15.0571428571429" customWidth="1"/>
  </cols>
  <sheetData>
    <row r="1" spans="1:8">
      <c r="A1" s="26" t="s">
        <v>274</v>
      </c>
      <c r="B1" s="27"/>
      <c r="C1" s="26"/>
      <c r="D1" s="28"/>
      <c r="E1" s="26"/>
      <c r="F1" s="26"/>
      <c r="G1" s="26"/>
      <c r="H1" s="26"/>
    </row>
    <row r="2" spans="1:8">
      <c r="A2" s="29" t="s">
        <v>275</v>
      </c>
      <c r="B2" s="30"/>
      <c r="C2" s="29"/>
      <c r="D2" s="31"/>
      <c r="E2" s="29"/>
      <c r="F2" s="29"/>
      <c r="G2" s="29"/>
      <c r="H2" s="29"/>
    </row>
    <row r="3" ht="60" spans="1:8">
      <c r="A3" s="32" t="s">
        <v>276</v>
      </c>
      <c r="B3" s="32" t="s">
        <v>277</v>
      </c>
      <c r="C3" s="32" t="s">
        <v>278</v>
      </c>
      <c r="D3" s="32" t="s">
        <v>279</v>
      </c>
      <c r="E3" s="32" t="s">
        <v>280</v>
      </c>
      <c r="F3" s="32" t="s">
        <v>281</v>
      </c>
      <c r="G3" s="32" t="s">
        <v>282</v>
      </c>
      <c r="H3" s="32" t="s">
        <v>283</v>
      </c>
    </row>
    <row r="4" ht="30" spans="1:8">
      <c r="A4" s="33">
        <v>1</v>
      </c>
      <c r="B4" s="34" t="s">
        <v>284</v>
      </c>
      <c r="C4" s="35" t="s">
        <v>285</v>
      </c>
      <c r="D4" s="34" t="s">
        <v>286</v>
      </c>
      <c r="E4" s="36">
        <v>50.6</v>
      </c>
      <c r="F4" s="34">
        <v>4</v>
      </c>
      <c r="G4" s="37">
        <f t="shared" ref="G4:G12" si="0">TRUNC(F4*E4,2)</f>
        <v>202.4</v>
      </c>
      <c r="H4" s="37">
        <f>TRUNC(G4/12,2)</f>
        <v>16.86</v>
      </c>
    </row>
    <row r="5" ht="90" spans="1:8">
      <c r="A5" s="33">
        <v>2</v>
      </c>
      <c r="B5" s="34" t="s">
        <v>287</v>
      </c>
      <c r="C5" s="35" t="s">
        <v>288</v>
      </c>
      <c r="D5" s="34" t="s">
        <v>286</v>
      </c>
      <c r="E5" s="36">
        <v>47.5</v>
      </c>
      <c r="F5" s="34">
        <v>4</v>
      </c>
      <c r="G5" s="37">
        <f t="shared" si="0"/>
        <v>190</v>
      </c>
      <c r="H5" s="37">
        <f t="shared" ref="H5:H12" si="1">TRUNC(G5/12,2)</f>
        <v>15.83</v>
      </c>
    </row>
    <row r="6" ht="151" customHeight="1" spans="1:8">
      <c r="A6" s="33">
        <v>3</v>
      </c>
      <c r="B6" s="34" t="s">
        <v>287</v>
      </c>
      <c r="C6" s="35" t="s">
        <v>289</v>
      </c>
      <c r="D6" s="34" t="s">
        <v>286</v>
      </c>
      <c r="E6" s="36">
        <v>29.17</v>
      </c>
      <c r="F6" s="34">
        <v>4</v>
      </c>
      <c r="G6" s="37">
        <f t="shared" si="0"/>
        <v>116.68</v>
      </c>
      <c r="H6" s="37">
        <f t="shared" si="1"/>
        <v>9.72</v>
      </c>
    </row>
    <row r="7" ht="75" spans="1:8">
      <c r="A7" s="33">
        <v>4</v>
      </c>
      <c r="B7" s="38" t="s">
        <v>290</v>
      </c>
      <c r="C7" s="35" t="s">
        <v>291</v>
      </c>
      <c r="D7" s="34" t="s">
        <v>286</v>
      </c>
      <c r="E7" s="36">
        <v>87.44</v>
      </c>
      <c r="F7" s="34">
        <v>2</v>
      </c>
      <c r="G7" s="37">
        <f t="shared" si="0"/>
        <v>174.88</v>
      </c>
      <c r="H7" s="37">
        <f t="shared" si="1"/>
        <v>14.57</v>
      </c>
    </row>
    <row r="8" ht="90" spans="1:8">
      <c r="A8" s="33">
        <v>5</v>
      </c>
      <c r="B8" s="38" t="s">
        <v>292</v>
      </c>
      <c r="C8" s="35" t="s">
        <v>293</v>
      </c>
      <c r="D8" s="34" t="s">
        <v>294</v>
      </c>
      <c r="E8" s="36">
        <v>32.13</v>
      </c>
      <c r="F8" s="34">
        <v>2</v>
      </c>
      <c r="G8" s="37">
        <f t="shared" si="0"/>
        <v>64.26</v>
      </c>
      <c r="H8" s="37">
        <f t="shared" si="1"/>
        <v>5.35</v>
      </c>
    </row>
    <row r="9" ht="30" spans="1:8">
      <c r="A9" s="33">
        <v>6</v>
      </c>
      <c r="B9" s="34" t="s">
        <v>295</v>
      </c>
      <c r="C9" s="35" t="s">
        <v>296</v>
      </c>
      <c r="D9" s="34" t="s">
        <v>294</v>
      </c>
      <c r="E9" s="36">
        <v>65.63</v>
      </c>
      <c r="F9" s="34">
        <v>2</v>
      </c>
      <c r="G9" s="37">
        <f t="shared" si="0"/>
        <v>131.26</v>
      </c>
      <c r="H9" s="37">
        <f t="shared" si="1"/>
        <v>10.93</v>
      </c>
    </row>
    <row r="10" spans="1:8">
      <c r="A10" s="33">
        <v>7</v>
      </c>
      <c r="B10" s="34" t="s">
        <v>297</v>
      </c>
      <c r="C10" s="35" t="s">
        <v>298</v>
      </c>
      <c r="D10" s="34" t="s">
        <v>286</v>
      </c>
      <c r="E10" s="36">
        <v>17.84</v>
      </c>
      <c r="F10" s="34">
        <v>2</v>
      </c>
      <c r="G10" s="37">
        <f t="shared" si="0"/>
        <v>35.68</v>
      </c>
      <c r="H10" s="37">
        <f t="shared" si="1"/>
        <v>2.97</v>
      </c>
    </row>
    <row r="11" ht="45" spans="1:8">
      <c r="A11" s="33">
        <v>8</v>
      </c>
      <c r="B11" s="34" t="s">
        <v>299</v>
      </c>
      <c r="C11" s="35" t="s">
        <v>300</v>
      </c>
      <c r="D11" s="34" t="s">
        <v>294</v>
      </c>
      <c r="E11" s="36">
        <v>7.9</v>
      </c>
      <c r="F11" s="34">
        <v>4</v>
      </c>
      <c r="G11" s="37">
        <f t="shared" si="0"/>
        <v>31.6</v>
      </c>
      <c r="H11" s="37">
        <f t="shared" si="1"/>
        <v>2.63</v>
      </c>
    </row>
    <row r="12" ht="45" spans="1:8">
      <c r="A12" s="33">
        <v>9</v>
      </c>
      <c r="B12" s="34" t="s">
        <v>301</v>
      </c>
      <c r="C12" s="35" t="s">
        <v>302</v>
      </c>
      <c r="D12" s="34" t="s">
        <v>286</v>
      </c>
      <c r="E12" s="36">
        <v>3.98</v>
      </c>
      <c r="F12" s="34">
        <v>1</v>
      </c>
      <c r="G12" s="37">
        <f t="shared" si="0"/>
        <v>3.98</v>
      </c>
      <c r="H12" s="37">
        <f t="shared" si="1"/>
        <v>0.33</v>
      </c>
    </row>
    <row r="13" spans="1:8">
      <c r="A13" s="39" t="s">
        <v>204</v>
      </c>
      <c r="B13" s="39"/>
      <c r="C13" s="39"/>
      <c r="D13" s="39"/>
      <c r="E13" s="39"/>
      <c r="F13" s="39"/>
      <c r="G13" s="40">
        <f>TRUNC(SUM(H4:H12),2)</f>
        <v>79.19</v>
      </c>
      <c r="H13" s="40"/>
    </row>
    <row r="16" spans="1:8">
      <c r="A16" s="26" t="s">
        <v>274</v>
      </c>
      <c r="B16" s="27"/>
      <c r="C16" s="26"/>
      <c r="D16" s="28"/>
      <c r="E16" s="26"/>
      <c r="F16" s="26"/>
      <c r="G16" s="26"/>
      <c r="H16" s="26"/>
    </row>
    <row r="17" spans="1:8">
      <c r="A17" s="29" t="s">
        <v>303</v>
      </c>
      <c r="B17" s="30"/>
      <c r="C17" s="29"/>
      <c r="D17" s="31"/>
      <c r="E17" s="29"/>
      <c r="F17" s="29"/>
      <c r="G17" s="29"/>
      <c r="H17" s="29"/>
    </row>
    <row r="18" ht="60" spans="1:8">
      <c r="A18" s="32" t="s">
        <v>276</v>
      </c>
      <c r="B18" s="32" t="s">
        <v>277</v>
      </c>
      <c r="C18" s="32" t="s">
        <v>278</v>
      </c>
      <c r="D18" s="32" t="s">
        <v>279</v>
      </c>
      <c r="E18" s="32" t="s">
        <v>280</v>
      </c>
      <c r="F18" s="32" t="s">
        <v>281</v>
      </c>
      <c r="G18" s="32" t="s">
        <v>282</v>
      </c>
      <c r="H18" s="32" t="s">
        <v>283</v>
      </c>
    </row>
    <row r="19" ht="30" spans="1:8">
      <c r="A19" s="33">
        <v>1</v>
      </c>
      <c r="B19" s="34" t="s">
        <v>284</v>
      </c>
      <c r="C19" s="35" t="s">
        <v>304</v>
      </c>
      <c r="D19" s="34" t="s">
        <v>286</v>
      </c>
      <c r="E19" s="36">
        <v>49.99</v>
      </c>
      <c r="F19" s="34">
        <v>4</v>
      </c>
      <c r="G19" s="37">
        <f>TRUNC(F19*E19,2)</f>
        <v>199.96</v>
      </c>
      <c r="H19" s="37">
        <f>TRUNC(G19/12,2)</f>
        <v>16.66</v>
      </c>
    </row>
    <row r="20" ht="30" spans="1:8">
      <c r="A20" s="33">
        <v>2</v>
      </c>
      <c r="B20" s="34" t="s">
        <v>305</v>
      </c>
      <c r="C20" s="35" t="s">
        <v>306</v>
      </c>
      <c r="D20" s="34" t="s">
        <v>286</v>
      </c>
      <c r="E20" s="36">
        <v>42.7</v>
      </c>
      <c r="F20" s="34">
        <v>4</v>
      </c>
      <c r="G20" s="37">
        <f>TRUNC(F20*E20,2)</f>
        <v>170.8</v>
      </c>
      <c r="H20" s="37">
        <f t="shared" ref="H20:H26" si="2">TRUNC(G20/12,2)</f>
        <v>14.23</v>
      </c>
    </row>
    <row r="21" ht="45" spans="1:8">
      <c r="A21" s="33">
        <v>3</v>
      </c>
      <c r="B21" s="34" t="s">
        <v>307</v>
      </c>
      <c r="C21" s="35" t="s">
        <v>308</v>
      </c>
      <c r="D21" s="34" t="s">
        <v>286</v>
      </c>
      <c r="E21" s="36">
        <v>42.25</v>
      </c>
      <c r="F21" s="34">
        <v>2</v>
      </c>
      <c r="G21" s="37">
        <f t="shared" ref="G21:G26" si="3">TRUNC(F21*E21,2)</f>
        <v>84.5</v>
      </c>
      <c r="H21" s="37">
        <f t="shared" si="2"/>
        <v>7.04</v>
      </c>
    </row>
    <row r="22" ht="90" spans="1:8">
      <c r="A22" s="33">
        <v>4</v>
      </c>
      <c r="B22" s="34" t="s">
        <v>287</v>
      </c>
      <c r="C22" s="35" t="s">
        <v>309</v>
      </c>
      <c r="D22" s="34" t="s">
        <v>286</v>
      </c>
      <c r="E22" s="36">
        <v>36.89</v>
      </c>
      <c r="F22" s="34">
        <v>4</v>
      </c>
      <c r="G22" s="37">
        <f t="shared" si="3"/>
        <v>147.56</v>
      </c>
      <c r="H22" s="37">
        <f t="shared" si="2"/>
        <v>12.29</v>
      </c>
    </row>
    <row r="23" ht="151" customHeight="1" spans="1:8">
      <c r="A23" s="33">
        <v>5</v>
      </c>
      <c r="B23" s="34" t="s">
        <v>287</v>
      </c>
      <c r="C23" s="35" t="s">
        <v>310</v>
      </c>
      <c r="D23" s="34" t="s">
        <v>286</v>
      </c>
      <c r="E23" s="36">
        <v>29.17</v>
      </c>
      <c r="F23" s="34">
        <v>4</v>
      </c>
      <c r="G23" s="37">
        <f t="shared" si="3"/>
        <v>116.68</v>
      </c>
      <c r="H23" s="37">
        <f t="shared" si="2"/>
        <v>9.72</v>
      </c>
    </row>
    <row r="24" ht="30" spans="1:8">
      <c r="A24" s="33">
        <v>6</v>
      </c>
      <c r="B24" s="34" t="s">
        <v>295</v>
      </c>
      <c r="C24" s="35" t="s">
        <v>296</v>
      </c>
      <c r="D24" s="34" t="s">
        <v>294</v>
      </c>
      <c r="E24" s="36">
        <v>65.63</v>
      </c>
      <c r="F24" s="34">
        <v>2</v>
      </c>
      <c r="G24" s="37">
        <f t="shared" si="3"/>
        <v>131.26</v>
      </c>
      <c r="H24" s="37">
        <f t="shared" si="2"/>
        <v>10.93</v>
      </c>
    </row>
    <row r="25" ht="75" spans="1:8">
      <c r="A25" s="33">
        <v>7</v>
      </c>
      <c r="B25" s="34" t="s">
        <v>299</v>
      </c>
      <c r="C25" s="35" t="s">
        <v>311</v>
      </c>
      <c r="D25" s="34" t="s">
        <v>294</v>
      </c>
      <c r="E25" s="36">
        <v>12.93</v>
      </c>
      <c r="F25" s="34">
        <v>4</v>
      </c>
      <c r="G25" s="37">
        <f t="shared" si="3"/>
        <v>51.72</v>
      </c>
      <c r="H25" s="37">
        <f t="shared" si="2"/>
        <v>4.31</v>
      </c>
    </row>
    <row r="26" ht="45" spans="1:8">
      <c r="A26" s="33">
        <v>8</v>
      </c>
      <c r="B26" s="34" t="s">
        <v>301</v>
      </c>
      <c r="C26" s="35" t="s">
        <v>302</v>
      </c>
      <c r="D26" s="34" t="s">
        <v>286</v>
      </c>
      <c r="E26" s="36">
        <v>3.98</v>
      </c>
      <c r="F26" s="34">
        <v>1</v>
      </c>
      <c r="G26" s="37">
        <f t="shared" si="3"/>
        <v>3.98</v>
      </c>
      <c r="H26" s="37">
        <f t="shared" si="2"/>
        <v>0.33</v>
      </c>
    </row>
    <row r="27" spans="1:8">
      <c r="A27" s="39" t="s">
        <v>204</v>
      </c>
      <c r="B27" s="39"/>
      <c r="C27" s="39"/>
      <c r="D27" s="39"/>
      <c r="E27" s="39"/>
      <c r="F27" s="39"/>
      <c r="G27" s="40">
        <f>TRUNC(SUM(H19:H26),2)</f>
        <v>75.51</v>
      </c>
      <c r="H27" s="40"/>
    </row>
    <row r="28" spans="1:8">
      <c r="A28" s="41"/>
      <c r="B28" s="42"/>
      <c r="C28" s="41"/>
      <c r="D28" s="43"/>
      <c r="E28" s="41"/>
      <c r="F28" s="41"/>
      <c r="G28" s="41"/>
      <c r="H28" s="41"/>
    </row>
    <row r="29" spans="1:8">
      <c r="A29" s="41"/>
      <c r="B29" s="42"/>
      <c r="C29" s="41"/>
      <c r="D29" s="43"/>
      <c r="E29" s="41"/>
      <c r="F29" s="41"/>
      <c r="G29" s="41"/>
      <c r="H29" s="41"/>
    </row>
    <row r="30" spans="1:8">
      <c r="A30" s="26" t="s">
        <v>274</v>
      </c>
      <c r="B30" s="27"/>
      <c r="C30" s="26"/>
      <c r="D30" s="28"/>
      <c r="E30" s="26"/>
      <c r="F30" s="26"/>
      <c r="G30" s="26"/>
      <c r="H30" s="26"/>
    </row>
    <row r="31" spans="1:8">
      <c r="A31" s="29" t="s">
        <v>312</v>
      </c>
      <c r="B31" s="30"/>
      <c r="C31" s="29"/>
      <c r="D31" s="31"/>
      <c r="E31" s="29"/>
      <c r="F31" s="29"/>
      <c r="G31" s="29"/>
      <c r="H31" s="29"/>
    </row>
    <row r="32" ht="60" spans="1:8">
      <c r="A32" s="32" t="s">
        <v>276</v>
      </c>
      <c r="B32" s="32" t="s">
        <v>277</v>
      </c>
      <c r="C32" s="32" t="s">
        <v>278</v>
      </c>
      <c r="D32" s="32" t="s">
        <v>279</v>
      </c>
      <c r="E32" s="32" t="s">
        <v>280</v>
      </c>
      <c r="F32" s="32" t="s">
        <v>281</v>
      </c>
      <c r="G32" s="32" t="s">
        <v>282</v>
      </c>
      <c r="H32" s="32" t="s">
        <v>283</v>
      </c>
    </row>
    <row r="33" ht="30" spans="1:8">
      <c r="A33" s="33">
        <v>1</v>
      </c>
      <c r="B33" s="34" t="s">
        <v>284</v>
      </c>
      <c r="C33" s="35" t="s">
        <v>304</v>
      </c>
      <c r="D33" s="34" t="s">
        <v>286</v>
      </c>
      <c r="E33" s="36">
        <v>49.99</v>
      </c>
      <c r="F33" s="34">
        <v>4</v>
      </c>
      <c r="G33" s="37">
        <f>TRUNC(F33*E33,2)</f>
        <v>199.96</v>
      </c>
      <c r="H33" s="37">
        <f>TRUNC(G33/12,2)</f>
        <v>16.66</v>
      </c>
    </row>
    <row r="34" ht="30" spans="1:8">
      <c r="A34" s="33">
        <v>2</v>
      </c>
      <c r="B34" s="34" t="s">
        <v>305</v>
      </c>
      <c r="C34" s="35" t="s">
        <v>306</v>
      </c>
      <c r="D34" s="34" t="s">
        <v>286</v>
      </c>
      <c r="E34" s="36">
        <v>42.7</v>
      </c>
      <c r="F34" s="34">
        <v>4</v>
      </c>
      <c r="G34" s="37">
        <f>TRUNC(F34*E34,2)</f>
        <v>170.8</v>
      </c>
      <c r="H34" s="37">
        <f>TRUNC(G34/12,2)</f>
        <v>14.23</v>
      </c>
    </row>
    <row r="35" ht="45" spans="1:8">
      <c r="A35" s="33">
        <v>3</v>
      </c>
      <c r="B35" s="34" t="s">
        <v>307</v>
      </c>
      <c r="C35" s="35" t="s">
        <v>308</v>
      </c>
      <c r="D35" s="34" t="s">
        <v>286</v>
      </c>
      <c r="E35" s="36">
        <v>42.25</v>
      </c>
      <c r="F35" s="34">
        <v>2</v>
      </c>
      <c r="G35" s="37">
        <f t="shared" ref="G35:G40" si="4">TRUNC(F35*E35,2)</f>
        <v>84.5</v>
      </c>
      <c r="H35" s="37">
        <f t="shared" ref="H35:H40" si="5">TRUNC(G35/12,2)</f>
        <v>7.04</v>
      </c>
    </row>
    <row r="36" ht="90" spans="1:8">
      <c r="A36" s="33">
        <v>4</v>
      </c>
      <c r="B36" s="34" t="s">
        <v>287</v>
      </c>
      <c r="C36" s="35" t="s">
        <v>309</v>
      </c>
      <c r="D36" s="34" t="s">
        <v>286</v>
      </c>
      <c r="E36" s="36">
        <v>36.89</v>
      </c>
      <c r="F36" s="34">
        <v>4</v>
      </c>
      <c r="G36" s="37">
        <f t="shared" si="4"/>
        <v>147.56</v>
      </c>
      <c r="H36" s="37">
        <f t="shared" si="5"/>
        <v>12.29</v>
      </c>
    </row>
    <row r="37" ht="149" customHeight="1" spans="1:8">
      <c r="A37" s="33">
        <v>5</v>
      </c>
      <c r="B37" s="34" t="s">
        <v>287</v>
      </c>
      <c r="C37" s="35" t="s">
        <v>310</v>
      </c>
      <c r="D37" s="34" t="s">
        <v>286</v>
      </c>
      <c r="E37" s="36">
        <v>29.17</v>
      </c>
      <c r="F37" s="34">
        <v>4</v>
      </c>
      <c r="G37" s="37">
        <f t="shared" si="4"/>
        <v>116.68</v>
      </c>
      <c r="H37" s="37">
        <f t="shared" si="5"/>
        <v>9.72</v>
      </c>
    </row>
    <row r="38" ht="30" spans="1:8">
      <c r="A38" s="33">
        <v>6</v>
      </c>
      <c r="B38" s="34" t="s">
        <v>295</v>
      </c>
      <c r="C38" s="35" t="s">
        <v>296</v>
      </c>
      <c r="D38" s="34" t="s">
        <v>294</v>
      </c>
      <c r="E38" s="36">
        <v>65.63</v>
      </c>
      <c r="F38" s="34">
        <v>2</v>
      </c>
      <c r="G38" s="37">
        <f t="shared" si="4"/>
        <v>131.26</v>
      </c>
      <c r="H38" s="37">
        <f t="shared" si="5"/>
        <v>10.93</v>
      </c>
    </row>
    <row r="39" ht="75" spans="1:8">
      <c r="A39" s="33">
        <v>7</v>
      </c>
      <c r="B39" s="34" t="s">
        <v>299</v>
      </c>
      <c r="C39" s="35" t="s">
        <v>311</v>
      </c>
      <c r="D39" s="34" t="s">
        <v>294</v>
      </c>
      <c r="E39" s="36">
        <v>12.93</v>
      </c>
      <c r="F39" s="34">
        <v>4</v>
      </c>
      <c r="G39" s="37">
        <f t="shared" si="4"/>
        <v>51.72</v>
      </c>
      <c r="H39" s="37">
        <f t="shared" si="5"/>
        <v>4.31</v>
      </c>
    </row>
    <row r="40" ht="45" spans="1:8">
      <c r="A40" s="33">
        <v>8</v>
      </c>
      <c r="B40" s="34" t="s">
        <v>301</v>
      </c>
      <c r="C40" s="35" t="s">
        <v>302</v>
      </c>
      <c r="D40" s="34" t="s">
        <v>286</v>
      </c>
      <c r="E40" s="36">
        <v>3.98</v>
      </c>
      <c r="F40" s="34">
        <v>1</v>
      </c>
      <c r="G40" s="37">
        <f t="shared" si="4"/>
        <v>3.98</v>
      </c>
      <c r="H40" s="37">
        <f t="shared" si="5"/>
        <v>0.33</v>
      </c>
    </row>
    <row r="41" spans="1:8">
      <c r="A41" s="39" t="s">
        <v>204</v>
      </c>
      <c r="B41" s="39"/>
      <c r="C41" s="39"/>
      <c r="D41" s="39"/>
      <c r="E41" s="39"/>
      <c r="F41" s="39"/>
      <c r="G41" s="40">
        <f>TRUNC(SUM(H33:H40),2)</f>
        <v>75.51</v>
      </c>
      <c r="H41" s="40"/>
    </row>
    <row r="44" spans="1:8">
      <c r="A44" s="26" t="s">
        <v>274</v>
      </c>
      <c r="B44" s="27"/>
      <c r="C44" s="26"/>
      <c r="D44" s="28"/>
      <c r="E44" s="26"/>
      <c r="F44" s="26"/>
      <c r="G44" s="26"/>
      <c r="H44" s="26"/>
    </row>
    <row r="45" spans="1:8">
      <c r="A45" s="29" t="s">
        <v>313</v>
      </c>
      <c r="B45" s="30"/>
      <c r="C45" s="29"/>
      <c r="D45" s="31"/>
      <c r="E45" s="29"/>
      <c r="F45" s="29"/>
      <c r="G45" s="29"/>
      <c r="H45" s="29"/>
    </row>
    <row r="46" ht="60" spans="1:8">
      <c r="A46" s="32" t="s">
        <v>276</v>
      </c>
      <c r="B46" s="32" t="s">
        <v>277</v>
      </c>
      <c r="C46" s="32" t="s">
        <v>278</v>
      </c>
      <c r="D46" s="32" t="s">
        <v>279</v>
      </c>
      <c r="E46" s="32" t="s">
        <v>280</v>
      </c>
      <c r="F46" s="32" t="s">
        <v>281</v>
      </c>
      <c r="G46" s="32" t="s">
        <v>282</v>
      </c>
      <c r="H46" s="32" t="s">
        <v>283</v>
      </c>
    </row>
    <row r="47" ht="30" spans="1:8">
      <c r="A47" s="33">
        <v>1</v>
      </c>
      <c r="B47" s="34" t="s">
        <v>284</v>
      </c>
      <c r="C47" s="35" t="s">
        <v>285</v>
      </c>
      <c r="D47" s="34" t="s">
        <v>286</v>
      </c>
      <c r="E47" s="36">
        <v>50.6</v>
      </c>
      <c r="F47" s="34">
        <v>4</v>
      </c>
      <c r="G47" s="37">
        <f t="shared" ref="G47:G55" si="6">TRUNC(F47*E47,2)</f>
        <v>202.4</v>
      </c>
      <c r="H47" s="37">
        <f t="shared" ref="H47:H55" si="7">TRUNC(G47/12,2)</f>
        <v>16.86</v>
      </c>
    </row>
    <row r="48" ht="90" spans="1:8">
      <c r="A48" s="33">
        <v>2</v>
      </c>
      <c r="B48" s="34" t="s">
        <v>287</v>
      </c>
      <c r="C48" s="35" t="s">
        <v>288</v>
      </c>
      <c r="D48" s="34" t="s">
        <v>286</v>
      </c>
      <c r="E48" s="36">
        <v>47.5</v>
      </c>
      <c r="F48" s="34">
        <v>4</v>
      </c>
      <c r="G48" s="37">
        <f t="shared" si="6"/>
        <v>190</v>
      </c>
      <c r="H48" s="37">
        <f t="shared" si="7"/>
        <v>15.83</v>
      </c>
    </row>
    <row r="49" ht="150" customHeight="1" spans="1:8">
      <c r="A49" s="33">
        <v>3</v>
      </c>
      <c r="B49" s="34" t="s">
        <v>287</v>
      </c>
      <c r="C49" s="35" t="s">
        <v>289</v>
      </c>
      <c r="D49" s="34" t="s">
        <v>286</v>
      </c>
      <c r="E49" s="36">
        <v>29.17</v>
      </c>
      <c r="F49" s="34">
        <v>4</v>
      </c>
      <c r="G49" s="37">
        <f t="shared" si="6"/>
        <v>116.68</v>
      </c>
      <c r="H49" s="37">
        <f t="shared" si="7"/>
        <v>9.72</v>
      </c>
    </row>
    <row r="50" ht="75" spans="1:8">
      <c r="A50" s="33"/>
      <c r="B50" s="34" t="s">
        <v>290</v>
      </c>
      <c r="C50" s="35" t="s">
        <v>291</v>
      </c>
      <c r="D50" s="34" t="s">
        <v>286</v>
      </c>
      <c r="E50" s="36">
        <v>87.44</v>
      </c>
      <c r="F50" s="34">
        <v>2</v>
      </c>
      <c r="G50" s="37">
        <f t="shared" si="6"/>
        <v>174.88</v>
      </c>
      <c r="H50" s="37">
        <f t="shared" si="7"/>
        <v>14.57</v>
      </c>
    </row>
    <row r="51" ht="30" spans="1:8">
      <c r="A51" s="33">
        <v>4</v>
      </c>
      <c r="B51" s="34" t="s">
        <v>295</v>
      </c>
      <c r="C51" s="35" t="s">
        <v>296</v>
      </c>
      <c r="D51" s="34" t="s">
        <v>294</v>
      </c>
      <c r="E51" s="36">
        <v>65.63</v>
      </c>
      <c r="F51" s="34">
        <v>2</v>
      </c>
      <c r="G51" s="37">
        <f t="shared" si="6"/>
        <v>131.26</v>
      </c>
      <c r="H51" s="37">
        <f t="shared" si="7"/>
        <v>10.93</v>
      </c>
    </row>
    <row r="52" ht="21" customHeight="1" spans="1:8">
      <c r="A52" s="33"/>
      <c r="B52" s="34" t="s">
        <v>297</v>
      </c>
      <c r="C52" s="35" t="s">
        <v>298</v>
      </c>
      <c r="D52" s="34" t="s">
        <v>286</v>
      </c>
      <c r="E52" s="36">
        <v>17.84</v>
      </c>
      <c r="F52" s="34">
        <v>2</v>
      </c>
      <c r="G52" s="37">
        <f t="shared" si="6"/>
        <v>35.68</v>
      </c>
      <c r="H52" s="37">
        <f t="shared" si="7"/>
        <v>2.97</v>
      </c>
    </row>
    <row r="53" ht="45" spans="1:8">
      <c r="A53" s="33">
        <v>5</v>
      </c>
      <c r="B53" s="34" t="s">
        <v>299</v>
      </c>
      <c r="C53" s="35" t="s">
        <v>300</v>
      </c>
      <c r="D53" s="34" t="s">
        <v>294</v>
      </c>
      <c r="E53" s="36">
        <v>7.9</v>
      </c>
      <c r="F53" s="34">
        <v>4</v>
      </c>
      <c r="G53" s="37">
        <f t="shared" si="6"/>
        <v>31.6</v>
      </c>
      <c r="H53" s="37">
        <f t="shared" si="7"/>
        <v>2.63</v>
      </c>
    </row>
    <row r="54" ht="30" spans="1:8">
      <c r="A54" s="33">
        <v>6</v>
      </c>
      <c r="B54" s="34" t="s">
        <v>314</v>
      </c>
      <c r="C54" s="44" t="s">
        <v>315</v>
      </c>
      <c r="D54" s="34" t="s">
        <v>286</v>
      </c>
      <c r="E54" s="36">
        <v>75.33</v>
      </c>
      <c r="F54" s="34">
        <v>2</v>
      </c>
      <c r="G54" s="37">
        <f t="shared" si="6"/>
        <v>150.66</v>
      </c>
      <c r="H54" s="37">
        <f t="shared" si="7"/>
        <v>12.55</v>
      </c>
    </row>
    <row r="55" ht="45" spans="1:8">
      <c r="A55" s="33">
        <v>7</v>
      </c>
      <c r="B55" s="34" t="s">
        <v>301</v>
      </c>
      <c r="C55" s="35" t="s">
        <v>302</v>
      </c>
      <c r="D55" s="34" t="s">
        <v>286</v>
      </c>
      <c r="E55" s="36">
        <v>3.98</v>
      </c>
      <c r="F55" s="34">
        <v>1</v>
      </c>
      <c r="G55" s="37">
        <f t="shared" si="6"/>
        <v>3.98</v>
      </c>
      <c r="H55" s="37">
        <f t="shared" si="7"/>
        <v>0.33</v>
      </c>
    </row>
    <row r="56" spans="1:8">
      <c r="A56" s="39" t="s">
        <v>204</v>
      </c>
      <c r="B56" s="39"/>
      <c r="C56" s="39"/>
      <c r="D56" s="39"/>
      <c r="E56" s="39"/>
      <c r="F56" s="39"/>
      <c r="G56" s="40">
        <f>TRUNC(SUM(H47:H55),2)</f>
        <v>86.39</v>
      </c>
      <c r="H56" s="40"/>
    </row>
    <row r="59" spans="1:8">
      <c r="A59" s="26" t="s">
        <v>274</v>
      </c>
      <c r="B59" s="27"/>
      <c r="C59" s="26"/>
      <c r="D59" s="28"/>
      <c r="E59" s="26"/>
      <c r="F59" s="26"/>
      <c r="G59" s="26"/>
      <c r="H59" s="26"/>
    </row>
    <row r="60" spans="1:8">
      <c r="A60" s="29" t="s">
        <v>316</v>
      </c>
      <c r="B60" s="30"/>
      <c r="C60" s="29"/>
      <c r="D60" s="31"/>
      <c r="E60" s="29"/>
      <c r="F60" s="29"/>
      <c r="G60" s="29"/>
      <c r="H60" s="29"/>
    </row>
    <row r="61" ht="60" spans="1:8">
      <c r="A61" s="32" t="s">
        <v>276</v>
      </c>
      <c r="B61" s="32" t="s">
        <v>277</v>
      </c>
      <c r="C61" s="32" t="s">
        <v>278</v>
      </c>
      <c r="D61" s="32" t="s">
        <v>279</v>
      </c>
      <c r="E61" s="32" t="s">
        <v>280</v>
      </c>
      <c r="F61" s="32" t="s">
        <v>281</v>
      </c>
      <c r="G61" s="32" t="s">
        <v>282</v>
      </c>
      <c r="H61" s="32" t="s">
        <v>283</v>
      </c>
    </row>
    <row r="62" ht="30" spans="1:8">
      <c r="A62" s="33">
        <v>1</v>
      </c>
      <c r="B62" s="34" t="s">
        <v>284</v>
      </c>
      <c r="C62" s="35" t="s">
        <v>304</v>
      </c>
      <c r="D62" s="34" t="s">
        <v>286</v>
      </c>
      <c r="E62" s="36">
        <v>49.99</v>
      </c>
      <c r="F62" s="34">
        <v>4</v>
      </c>
      <c r="G62" s="37">
        <f t="shared" ref="G62:G70" si="8">TRUNC(F62*E62,2)</f>
        <v>199.96</v>
      </c>
      <c r="H62" s="37">
        <f t="shared" ref="H62:H70" si="9">TRUNC(G62/12,2)</f>
        <v>16.66</v>
      </c>
    </row>
    <row r="63" ht="30" spans="1:8">
      <c r="A63" s="33">
        <v>2</v>
      </c>
      <c r="B63" s="34" t="s">
        <v>305</v>
      </c>
      <c r="C63" s="35" t="s">
        <v>306</v>
      </c>
      <c r="D63" s="34" t="s">
        <v>286</v>
      </c>
      <c r="E63" s="36">
        <v>42.7</v>
      </c>
      <c r="F63" s="34">
        <v>4</v>
      </c>
      <c r="G63" s="37">
        <f t="shared" si="8"/>
        <v>170.8</v>
      </c>
      <c r="H63" s="37">
        <f t="shared" si="9"/>
        <v>14.23</v>
      </c>
    </row>
    <row r="64" ht="45" spans="1:8">
      <c r="A64" s="33">
        <v>3</v>
      </c>
      <c r="B64" s="34" t="s">
        <v>307</v>
      </c>
      <c r="C64" s="35" t="s">
        <v>308</v>
      </c>
      <c r="D64" s="34" t="s">
        <v>286</v>
      </c>
      <c r="E64" s="36">
        <v>42.25</v>
      </c>
      <c r="F64" s="34">
        <v>2</v>
      </c>
      <c r="G64" s="37">
        <f t="shared" si="8"/>
        <v>84.5</v>
      </c>
      <c r="H64" s="37">
        <f t="shared" si="9"/>
        <v>7.04</v>
      </c>
    </row>
    <row r="65" ht="90" spans="1:8">
      <c r="A65" s="33">
        <v>4</v>
      </c>
      <c r="B65" s="34" t="s">
        <v>287</v>
      </c>
      <c r="C65" s="35" t="s">
        <v>309</v>
      </c>
      <c r="D65" s="34" t="s">
        <v>286</v>
      </c>
      <c r="E65" s="36">
        <v>36.89</v>
      </c>
      <c r="F65" s="34">
        <v>4</v>
      </c>
      <c r="G65" s="37">
        <f t="shared" si="8"/>
        <v>147.56</v>
      </c>
      <c r="H65" s="37">
        <f t="shared" si="9"/>
        <v>12.29</v>
      </c>
    </row>
    <row r="66" ht="165" spans="1:8">
      <c r="A66" s="33">
        <v>5</v>
      </c>
      <c r="B66" s="34" t="s">
        <v>287</v>
      </c>
      <c r="C66" s="35" t="s">
        <v>310</v>
      </c>
      <c r="D66" s="34" t="s">
        <v>286</v>
      </c>
      <c r="E66" s="36">
        <v>29.17</v>
      </c>
      <c r="F66" s="34">
        <v>4</v>
      </c>
      <c r="G66" s="37">
        <f t="shared" si="8"/>
        <v>116.68</v>
      </c>
      <c r="H66" s="37">
        <f t="shared" si="9"/>
        <v>9.72</v>
      </c>
    </row>
    <row r="67" ht="210" spans="1:8">
      <c r="A67" s="33">
        <v>6</v>
      </c>
      <c r="B67" s="34" t="s">
        <v>317</v>
      </c>
      <c r="C67" s="35" t="s">
        <v>318</v>
      </c>
      <c r="D67" s="34" t="s">
        <v>286</v>
      </c>
      <c r="E67" s="36">
        <v>56.3</v>
      </c>
      <c r="F67" s="34">
        <v>4</v>
      </c>
      <c r="G67" s="37">
        <f t="shared" si="8"/>
        <v>225.2</v>
      </c>
      <c r="H67" s="37">
        <f t="shared" si="9"/>
        <v>18.76</v>
      </c>
    </row>
    <row r="68" ht="30" spans="1:8">
      <c r="A68" s="33">
        <v>7</v>
      </c>
      <c r="B68" s="34" t="s">
        <v>295</v>
      </c>
      <c r="C68" s="35" t="s">
        <v>296</v>
      </c>
      <c r="D68" s="34" t="s">
        <v>294</v>
      </c>
      <c r="E68" s="36">
        <v>65.63</v>
      </c>
      <c r="F68" s="34">
        <v>2</v>
      </c>
      <c r="G68" s="37">
        <f t="shared" si="8"/>
        <v>131.26</v>
      </c>
      <c r="H68" s="37">
        <f t="shared" si="9"/>
        <v>10.93</v>
      </c>
    </row>
    <row r="69" ht="75" spans="1:8">
      <c r="A69" s="33">
        <v>8</v>
      </c>
      <c r="B69" s="34" t="s">
        <v>299</v>
      </c>
      <c r="C69" s="35" t="s">
        <v>311</v>
      </c>
      <c r="D69" s="34" t="s">
        <v>294</v>
      </c>
      <c r="E69" s="36">
        <v>12.93</v>
      </c>
      <c r="F69" s="34">
        <v>4</v>
      </c>
      <c r="G69" s="37">
        <f t="shared" si="8"/>
        <v>51.72</v>
      </c>
      <c r="H69" s="37">
        <f t="shared" si="9"/>
        <v>4.31</v>
      </c>
    </row>
    <row r="70" ht="45" spans="1:8">
      <c r="A70" s="33">
        <v>9</v>
      </c>
      <c r="B70" s="34" t="s">
        <v>301</v>
      </c>
      <c r="C70" s="35" t="s">
        <v>302</v>
      </c>
      <c r="D70" s="34" t="s">
        <v>286</v>
      </c>
      <c r="E70" s="36">
        <v>3.98</v>
      </c>
      <c r="F70" s="34">
        <v>1</v>
      </c>
      <c r="G70" s="37">
        <f t="shared" si="8"/>
        <v>3.98</v>
      </c>
      <c r="H70" s="37">
        <f t="shared" si="9"/>
        <v>0.33</v>
      </c>
    </row>
    <row r="71" spans="1:8">
      <c r="A71" s="39" t="s">
        <v>204</v>
      </c>
      <c r="B71" s="39"/>
      <c r="C71" s="39"/>
      <c r="D71" s="39"/>
      <c r="E71" s="39"/>
      <c r="F71" s="39"/>
      <c r="G71" s="40">
        <f>TRUNC(SUM(H62:H70),2)</f>
        <v>94.27</v>
      </c>
      <c r="H71" s="40"/>
    </row>
  </sheetData>
  <mergeCells count="20">
    <mergeCell ref="A1:H1"/>
    <mergeCell ref="A2:H2"/>
    <mergeCell ref="A13:F13"/>
    <mergeCell ref="G13:H13"/>
    <mergeCell ref="A16:H16"/>
    <mergeCell ref="A17:H17"/>
    <mergeCell ref="A27:F27"/>
    <mergeCell ref="G27:H27"/>
    <mergeCell ref="A30:H30"/>
    <mergeCell ref="A31:H31"/>
    <mergeCell ref="A41:F41"/>
    <mergeCell ref="G41:H41"/>
    <mergeCell ref="A44:H44"/>
    <mergeCell ref="A45:H45"/>
    <mergeCell ref="A56:F56"/>
    <mergeCell ref="G56:H56"/>
    <mergeCell ref="A59:H59"/>
    <mergeCell ref="A60:H60"/>
    <mergeCell ref="A71:F71"/>
    <mergeCell ref="G71:H71"/>
  </mergeCells>
  <pageMargins left="0.75" right="0.75" top="1" bottom="1" header="0.5" footer="0.5"/>
  <pageSetup paperSize="9" orientation="portrait"/>
  <headerFooter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Orientações</vt:lpstr>
      <vt:lpstr>Servente</vt:lpstr>
      <vt:lpstr>Recepcionista Secretário(a)</vt:lpstr>
      <vt:lpstr>Téc. Saúde Bucal</vt:lpstr>
      <vt:lpstr>Copeiro (a)</vt:lpstr>
      <vt:lpstr>Portaria</vt:lpstr>
      <vt:lpstr>Motorista Interestadual</vt:lpstr>
      <vt:lpstr>Diárias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2022-09-22T11:52:16Z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